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Civitta-1\Documents\IZM_komentāri\"/>
    </mc:Choice>
  </mc:AlternateContent>
  <xr:revisionPtr revIDLastSave="0" documentId="13_ncr:1_{79156D1D-CD4D-492B-94BB-9446DFEB745B}" xr6:coauthVersionLast="45" xr6:coauthVersionMax="45" xr10:uidLastSave="{00000000-0000-0000-0000-000000000000}"/>
  <bookViews>
    <workbookView xWindow="-120" yWindow="-120" windowWidth="29040" windowHeight="15840" xr2:uid="{00000000-000D-0000-FFFF-FFFF00000000}"/>
  </bookViews>
  <sheets>
    <sheet name="Navigācijas panelis" sheetId="8" r:id="rId1"/>
    <sheet name="1.1. Ievade_Resursu aprēķins" sheetId="2" r:id="rId2"/>
    <sheet name="1.2. Ievade_Aptauju izmaksas" sheetId="7" r:id="rId3"/>
    <sheet name="1.3. Ievade_Alternatīvas" sheetId="6" r:id="rId4"/>
    <sheet name="2.1. Resursu aprēķins" sheetId="1" r:id="rId5"/>
    <sheet name="2.2. Alternatīvas" sheetId="5"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6" i="1" l="1"/>
  <c r="F26" i="1" s="1"/>
  <c r="G26" i="1" s="1"/>
  <c r="H26" i="1" s="1"/>
  <c r="I26" i="1" s="1"/>
  <c r="J26" i="1" s="1"/>
  <c r="K26" i="1" s="1"/>
  <c r="L26" i="1" s="1"/>
  <c r="D26" i="1"/>
  <c r="C26" i="1"/>
  <c r="E23" i="1"/>
  <c r="F23" i="1" s="1"/>
  <c r="G23" i="1" s="1"/>
  <c r="H23" i="1" s="1"/>
  <c r="I23" i="1" s="1"/>
  <c r="J23" i="1" s="1"/>
  <c r="K23" i="1" s="1"/>
  <c r="L23" i="1" s="1"/>
  <c r="B23" i="1"/>
  <c r="D15" i="1"/>
  <c r="C15" i="1"/>
  <c r="B33" i="2"/>
  <c r="F25" i="7"/>
  <c r="G18" i="7"/>
  <c r="G21" i="7"/>
  <c r="G20" i="7"/>
  <c r="E15" i="1" l="1"/>
  <c r="F15" i="1" s="1"/>
  <c r="G15" i="1" s="1"/>
  <c r="H15" i="1" s="1"/>
  <c r="I15" i="1" s="1"/>
  <c r="J15" i="1" s="1"/>
  <c r="K15" i="1" s="1"/>
  <c r="L15" i="1" s="1"/>
  <c r="D11" i="1"/>
  <c r="C11" i="1"/>
  <c r="D8" i="1"/>
  <c r="E8" i="1" s="1"/>
  <c r="F8" i="1" s="1"/>
  <c r="G8" i="1" s="1"/>
  <c r="H8" i="1" s="1"/>
  <c r="I8" i="1" s="1"/>
  <c r="J8" i="1" s="1"/>
  <c r="K8" i="1" s="1"/>
  <c r="L8" i="1" s="1"/>
  <c r="C8" i="1"/>
  <c r="C14" i="1" l="1"/>
  <c r="M10" i="5" l="1"/>
  <c r="D13" i="1"/>
  <c r="C19" i="1"/>
  <c r="C7" i="1"/>
  <c r="D7" i="1" s="1"/>
  <c r="C5" i="1"/>
  <c r="C17" i="5"/>
  <c r="D17" i="5" s="1"/>
  <c r="E17" i="5" s="1"/>
  <c r="F17" i="5" s="1"/>
  <c r="G17" i="5" s="1"/>
  <c r="H17" i="5" s="1"/>
  <c r="I17" i="5" s="1"/>
  <c r="J17" i="5" s="1"/>
  <c r="K17" i="5" s="1"/>
  <c r="L17" i="5" s="1"/>
  <c r="G22" i="7"/>
  <c r="D15" i="7"/>
  <c r="G15" i="7" s="1"/>
  <c r="G11" i="7"/>
  <c r="G8" i="7"/>
  <c r="G9" i="7"/>
  <c r="G4" i="7"/>
  <c r="F24" i="7"/>
  <c r="F4" i="7"/>
  <c r="F5" i="7"/>
  <c r="G5" i="7"/>
  <c r="C28" i="5"/>
  <c r="D28" i="5" s="1"/>
  <c r="E28" i="5" s="1"/>
  <c r="F28" i="5" s="1"/>
  <c r="G28" i="5" s="1"/>
  <c r="E11" i="1"/>
  <c r="F11" i="1" s="1"/>
  <c r="G11" i="1" s="1"/>
  <c r="H11" i="1" s="1"/>
  <c r="I11" i="1" s="1"/>
  <c r="J11" i="1" s="1"/>
  <c r="K11" i="1" s="1"/>
  <c r="L11" i="1" s="1"/>
  <c r="F16" i="7"/>
  <c r="G23" i="7"/>
  <c r="G17" i="7"/>
  <c r="G10" i="7"/>
  <c r="G14" i="7"/>
  <c r="G13" i="7"/>
  <c r="G6" i="7"/>
  <c r="F23" i="7"/>
  <c r="F22" i="7"/>
  <c r="F20" i="7"/>
  <c r="F17" i="7"/>
  <c r="F10" i="7"/>
  <c r="F13" i="7"/>
  <c r="F8" i="7"/>
  <c r="F11" i="7"/>
  <c r="F6" i="7"/>
  <c r="F14" i="7"/>
  <c r="F9" i="7"/>
  <c r="H28" i="5" l="1"/>
  <c r="I28" i="5" s="1"/>
  <c r="J28" i="5" s="1"/>
  <c r="K28" i="5" s="1"/>
  <c r="L28" i="5" s="1"/>
  <c r="C8" i="5"/>
  <c r="D8" i="5" s="1"/>
  <c r="E8" i="5" s="1"/>
  <c r="F8" i="5" s="1"/>
  <c r="G8" i="5" s="1"/>
  <c r="H8" i="5" s="1"/>
  <c r="I8" i="5" s="1"/>
  <c r="J8" i="5" s="1"/>
  <c r="K8" i="5" s="1"/>
  <c r="L8" i="5" s="1"/>
  <c r="C9" i="5"/>
  <c r="D9" i="5" s="1"/>
  <c r="E9" i="5" s="1"/>
  <c r="F9" i="5" s="1"/>
  <c r="G9" i="5" s="1"/>
  <c r="H9" i="5" s="1"/>
  <c r="I9" i="5" s="1"/>
  <c r="J9" i="5" s="1"/>
  <c r="K9" i="5" s="1"/>
  <c r="L9" i="5" s="1"/>
  <c r="G25" i="7"/>
  <c r="C12" i="1" l="1"/>
  <c r="D12" i="1"/>
  <c r="E12" i="1" s="1"/>
  <c r="F12" i="1" s="1"/>
  <c r="G12" i="1" s="1"/>
  <c r="H12" i="1" s="1"/>
  <c r="I12" i="1" s="1"/>
  <c r="J12" i="1" s="1"/>
  <c r="K12" i="1" s="1"/>
  <c r="L12" i="1" s="1"/>
  <c r="M28" i="5"/>
  <c r="M21" i="5"/>
  <c r="M24" i="5"/>
  <c r="M25" i="5"/>
  <c r="B8" i="6"/>
  <c r="C5" i="5" s="1"/>
  <c r="M18" i="5"/>
  <c r="M17" i="5"/>
  <c r="C4" i="5"/>
  <c r="D5" i="5" l="1"/>
  <c r="E5" i="5" s="1"/>
  <c r="M9" i="5"/>
  <c r="M8" i="5"/>
  <c r="C20" i="5"/>
  <c r="F5" i="5" l="1"/>
  <c r="G5" i="5" s="1"/>
  <c r="H5" i="5" s="1"/>
  <c r="I5" i="5" s="1"/>
  <c r="J5" i="5" s="1"/>
  <c r="K5" i="5" s="1"/>
  <c r="L5" i="5" s="1"/>
  <c r="M5" i="5" s="1"/>
  <c r="D20" i="5"/>
  <c r="C10" i="1"/>
  <c r="D10" i="1" l="1"/>
  <c r="C27" i="5"/>
  <c r="E20" i="5"/>
  <c r="E13" i="1"/>
  <c r="F13" i="1" s="1"/>
  <c r="C9" i="1"/>
  <c r="E7" i="1"/>
  <c r="F7" i="1" s="1"/>
  <c r="G7" i="1" s="1"/>
  <c r="H7" i="1" s="1"/>
  <c r="I7" i="1" s="1"/>
  <c r="J7" i="1" s="1"/>
  <c r="K7" i="1" s="1"/>
  <c r="L7" i="1" s="1"/>
  <c r="D5" i="1"/>
  <c r="D9" i="1" l="1"/>
  <c r="G13" i="1"/>
  <c r="H13" i="1" s="1"/>
  <c r="I13" i="1" s="1"/>
  <c r="J13" i="1" s="1"/>
  <c r="K13" i="1" s="1"/>
  <c r="L13" i="1" s="1"/>
  <c r="F20" i="5"/>
  <c r="D27" i="5"/>
  <c r="E10" i="1"/>
  <c r="C13" i="1"/>
  <c r="C17" i="1"/>
  <c r="D4" i="5" l="1"/>
  <c r="E9" i="1"/>
  <c r="F9" i="1" s="1"/>
  <c r="G9" i="1" s="1"/>
  <c r="H9" i="1" s="1"/>
  <c r="I9" i="1" s="1"/>
  <c r="J9" i="1" s="1"/>
  <c r="K9" i="1" s="1"/>
  <c r="G20" i="5"/>
  <c r="E27" i="5"/>
  <c r="F10" i="1"/>
  <c r="C25" i="1"/>
  <c r="D25" i="1" s="1"/>
  <c r="E25" i="1" s="1"/>
  <c r="F25" i="1" s="1"/>
  <c r="G25" i="1" s="1"/>
  <c r="H25" i="1" s="1"/>
  <c r="I25" i="1" s="1"/>
  <c r="J25" i="1" s="1"/>
  <c r="K25" i="1" s="1"/>
  <c r="L25" i="1" s="1"/>
  <c r="E5" i="1"/>
  <c r="F5" i="1" s="1"/>
  <c r="C3" i="1"/>
  <c r="D21" i="1"/>
  <c r="D22" i="1"/>
  <c r="C20" i="1"/>
  <c r="D4" i="1"/>
  <c r="E4" i="1"/>
  <c r="F4" i="1"/>
  <c r="G4" i="1"/>
  <c r="H4" i="1"/>
  <c r="I4" i="1"/>
  <c r="J4" i="1"/>
  <c r="K4" i="1"/>
  <c r="L4" i="1"/>
  <c r="C4" i="1"/>
  <c r="F27" i="1" l="1"/>
  <c r="E4" i="5"/>
  <c r="G5" i="1"/>
  <c r="H5" i="1" s="1"/>
  <c r="I5" i="1" s="1"/>
  <c r="J5" i="1" s="1"/>
  <c r="K5" i="1" s="1"/>
  <c r="L5" i="1" s="1"/>
  <c r="G10" i="1"/>
  <c r="F27" i="5"/>
  <c r="H20" i="5"/>
  <c r="C27" i="1"/>
  <c r="D27" i="1"/>
  <c r="G27" i="1" l="1"/>
  <c r="F4" i="5"/>
  <c r="I20" i="5"/>
  <c r="H10" i="1"/>
  <c r="G27" i="5"/>
  <c r="E27" i="1"/>
  <c r="H27" i="1" l="1"/>
  <c r="G4" i="5"/>
  <c r="H27" i="5"/>
  <c r="I10" i="1"/>
  <c r="J20" i="5"/>
  <c r="H4" i="5" l="1"/>
  <c r="L20" i="5"/>
  <c r="K20" i="5"/>
  <c r="J10" i="1"/>
  <c r="I27" i="5"/>
  <c r="I27" i="1"/>
  <c r="J27" i="1" l="1"/>
  <c r="I4" i="5"/>
  <c r="M20" i="5"/>
  <c r="J27" i="5"/>
  <c r="K10" i="1"/>
  <c r="J4" i="5" l="1"/>
  <c r="K27" i="5"/>
  <c r="L10" i="1"/>
  <c r="K27" i="1"/>
  <c r="L9" i="1" l="1"/>
  <c r="L4" i="5" s="1"/>
  <c r="K4" i="5"/>
  <c r="L27" i="5"/>
  <c r="M27" i="5" s="1"/>
  <c r="M4" i="5" l="1"/>
  <c r="L27" i="1"/>
  <c r="C29" i="1" s="1"/>
</calcChain>
</file>

<file path=xl/sharedStrings.xml><?xml version="1.0" encoding="utf-8"?>
<sst xmlns="http://schemas.openxmlformats.org/spreadsheetml/2006/main" count="279" uniqueCount="245">
  <si>
    <t>Apraksts</t>
  </si>
  <si>
    <t>Resursu novērtējuma rezultātu lapa, kurā norādītas izglītības kvalitātes uzraudzības sistēmas izveides un uzturēšanas izmaksas</t>
  </si>
  <si>
    <t>2.2. Alternatīvas</t>
  </si>
  <si>
    <t>Galvenie skaitļi un pieņēmumi</t>
  </si>
  <si>
    <t>Cita informācija, ko izmanto aprēķinā</t>
  </si>
  <si>
    <t>Nosaukums</t>
  </si>
  <si>
    <t>Komentārs</t>
  </si>
  <si>
    <t>Nosaukums</t>
  </si>
  <si>
    <t>Komentārs</t>
  </si>
  <si>
    <t>Datu noliktava</t>
  </si>
  <si>
    <t>Mēnešu skaits</t>
  </si>
  <si>
    <t>Inflācijas līmenis,%, 2020</t>
  </si>
  <si>
    <t>Eiropas Komisijas tāme 2020. gadam</t>
  </si>
  <si>
    <t>Inflācijas līmenis,%, 2021 –2029</t>
  </si>
  <si>
    <t>Datu vākšana</t>
  </si>
  <si>
    <t>Izglītības iestādes pieejamības mērījumu izmaksas ar mobilo sakaru operatoru datiem (vienam mobilo sakaru operatoram)</t>
  </si>
  <si>
    <t>Bērnu snieguma novērtējuma novērtējums</t>
  </si>
  <si>
    <t>Balstoties uz 2019. gada decembra datiem.</t>
  </si>
  <si>
    <t>Metodikas izstrādes izmaksas</t>
  </si>
  <si>
    <t>Metodikas izstrādes izmaksas</t>
  </si>
  <si>
    <t>Digitālo prasmju novērtējums</t>
  </si>
  <si>
    <t>Metodikas izstrādes izmaksas</t>
  </si>
  <si>
    <t>Metodikas izstrādes izmaksas</t>
  </si>
  <si>
    <t>Microsoft Power BI Pro licences ikmēneša izmaksas</t>
  </si>
  <si>
    <t>Informācijas pārvaldība un saziņa</t>
  </si>
  <si>
    <t>Zināšanu bāzes izmaksas vienam administratoram</t>
  </si>
  <si>
    <t>Izmaksu pamatā ir ekspertu novērtējums.</t>
  </si>
  <si>
    <t>Izmaksu pamatā ir ekspertu novērtējums.</t>
  </si>
  <si>
    <t>Izmaksu pamatā ir ekspertu novērtējums.</t>
  </si>
  <si>
    <t>Galvenie skaitļi un pieņēmumi</t>
  </si>
  <si>
    <t>Aptaujas veids</t>
  </si>
  <si>
    <t>Aktuālo jautājumu skaits</t>
  </si>
  <si>
    <t>Gada izdevumi (izlase)</t>
  </si>
  <si>
    <t>Aptaujas veids</t>
  </si>
  <si>
    <t>EUR</t>
  </si>
  <si>
    <t>Pirmsskolas izglītība</t>
  </si>
  <si>
    <t>Pedagogs</t>
  </si>
  <si>
    <t>5-10</t>
  </si>
  <si>
    <t>Pedagogs/akadēmiskais personāls/zinātniskais personāls</t>
  </si>
  <si>
    <t>Vecāki</t>
  </si>
  <si>
    <t>5-10</t>
  </si>
  <si>
    <t>Vecāki</t>
  </si>
  <si>
    <t>5-10</t>
  </si>
  <si>
    <t>Vispārējā izglītība</t>
  </si>
  <si>
    <t>5-10</t>
  </si>
  <si>
    <t>Pedagogs</t>
  </si>
  <si>
    <t>5-10</t>
  </si>
  <si>
    <t>Vecāki</t>
  </si>
  <si>
    <t>5-10</t>
  </si>
  <si>
    <t>5-10</t>
  </si>
  <si>
    <t>Profesionālā izglītība</t>
  </si>
  <si>
    <t>5-10</t>
  </si>
  <si>
    <t>Pedagogs</t>
  </si>
  <si>
    <t>5-10</t>
  </si>
  <si>
    <t>5-10</t>
  </si>
  <si>
    <t>5-10</t>
  </si>
  <si>
    <t>Vecāki</t>
  </si>
  <si>
    <t>10</t>
  </si>
  <si>
    <t>5-10</t>
  </si>
  <si>
    <t>Augstākā izglītība</t>
  </si>
  <si>
    <t>5-10</t>
  </si>
  <si>
    <t>5</t>
  </si>
  <si>
    <t>5-10</t>
  </si>
  <si>
    <t>Akadēmiskais personāls</t>
  </si>
  <si>
    <t>5-10</t>
  </si>
  <si>
    <t>Zinātniskais personāls</t>
  </si>
  <si>
    <t>5-10</t>
  </si>
  <si>
    <t>5-10</t>
  </si>
  <si>
    <t>Kopā:</t>
  </si>
  <si>
    <t>Galvenie skaitļi un pieņēmumi</t>
  </si>
  <si>
    <t>Nosaukums</t>
  </si>
  <si>
    <t>Komentārs</t>
  </si>
  <si>
    <t>Izglītības iestādes pieejamības mērīšana - aptaujas alternatīva</t>
  </si>
  <si>
    <t>Izglītības iestāžu skaits, kas īsteno vispārējās izglītības programmas</t>
  </si>
  <si>
    <t>Dati par izglītojamo finansiālo stāvokli</t>
  </si>
  <si>
    <t>Ar izglītojamo finansiālo stāvokli saistīto jautājumu skaits</t>
  </si>
  <si>
    <t>1. gads</t>
  </si>
  <si>
    <t>2. gads</t>
  </si>
  <si>
    <t>3. gads</t>
  </si>
  <si>
    <t>4. gads</t>
  </si>
  <si>
    <t>5. gads</t>
  </si>
  <si>
    <t>6. gads</t>
  </si>
  <si>
    <t>7. gads</t>
  </si>
  <si>
    <t>8. gads</t>
  </si>
  <si>
    <t>9. gads</t>
  </si>
  <si>
    <t>10. gads</t>
  </si>
  <si>
    <t>Datu noliktava</t>
  </si>
  <si>
    <t>Datu vākšana</t>
  </si>
  <si>
    <t>Digitālo prasmju novērtējums</t>
  </si>
  <si>
    <t>Microsoft Power BI Pro licences</t>
  </si>
  <si>
    <t>SAP BO speciālistu apmācība</t>
  </si>
  <si>
    <t>Informācijas pārvaldība un saziņa</t>
  </si>
  <si>
    <t>Zināšanu bāze</t>
  </si>
  <si>
    <t>Kopā (Y1-Y10)</t>
  </si>
  <si>
    <t>A1 ir izvēlēta alternatīva, kuras izmaksas ir norādītas lapā “Resursu novērtējums”.
 Dažas no šeit piedāvātajām alternatīvām ir tikai daļa no jauna datu vākšanas procesa, kas atspoguļots “Resursu novērtējumā” (kas pēc tam veido tikai daļu no tā izmaksām). Piemēram, “apmierinātības ar izstrādātajām kompetencēm novērtējums” aptver tikai nelielu daļu jautājumu, kas iekļauti izglītības iestāžu aptaujā.</t>
  </si>
  <si>
    <t>1. gads</t>
  </si>
  <si>
    <t>2. gads</t>
  </si>
  <si>
    <t>3. gads</t>
  </si>
  <si>
    <t>4. gads</t>
  </si>
  <si>
    <t>5. gads</t>
  </si>
  <si>
    <t>6. gads</t>
  </si>
  <si>
    <t>7. gads</t>
  </si>
  <si>
    <t>8. gads</t>
  </si>
  <si>
    <t>9. gads</t>
  </si>
  <si>
    <t>10. gads</t>
  </si>
  <si>
    <t>Kopā</t>
  </si>
  <si>
    <t>Izglītības iestādes pieejamības mērīšana</t>
  </si>
  <si>
    <t>A1. Mobilo operatoru dati</t>
  </si>
  <si>
    <t>A2. Apsekojums</t>
  </si>
  <si>
    <t>Apsekojumi</t>
  </si>
  <si>
    <t>A1. Izlases veida apsekojumi</t>
  </si>
  <si>
    <t>A1. Izglītojamo aptauja</t>
  </si>
  <si>
    <t>A2. Darba spēka apsekojums</t>
  </si>
  <si>
    <t>A1. Apsekojums</t>
  </si>
  <si>
    <t>Lai novērtētu šīs alternatīvas izmaksas, ir vajadzīga papildu analīze par izglītības nozares informācijas sistēmā iegūtās informācijas apjomu un kvalitāti, kā arī datu apmaiņas mehānismiem.</t>
  </si>
  <si>
    <t>A2. Dati no informācijas sistēmām</t>
  </si>
  <si>
    <t>Dati par izglītojamo finansiālo stāvokli</t>
  </si>
  <si>
    <t>A1. Izglītojamo aptauja</t>
  </si>
  <si>
    <t>A2. EUROSTUDENT aptauja</t>
  </si>
  <si>
    <t>Digitālo prasmju novērtējums</t>
  </si>
  <si>
    <t>A1. Digitālo prasmju pārbaude</t>
  </si>
  <si>
    <t>A2. Digitālās ekonomikas un sabiedrības indekss (DESI)</t>
  </si>
  <si>
    <t>A1. Eurostat</t>
  </si>
  <si>
    <t>Lapa</t>
  </si>
  <si>
    <t>1.2. Ievade_Aptauju izmaksas</t>
  </si>
  <si>
    <t>1.3. Ievade_Alternatīvas</t>
  </si>
  <si>
    <t>Visi dati un pieņēmumi, kas vajadzīgi aptauju izmaksu aprēķiniem</t>
  </si>
  <si>
    <t>Visi dati un pieņēmumi, kas nepieciešami resursu aprēķiniem, izņemot aptauju izmaksas</t>
  </si>
  <si>
    <t>Papildu dati, kas nav iekļauti lapās 1.1. un 1.2. un kas ir vajadzīgi, lai aprēķinātu ar datu vākšanas alternatīvu īstenošanu saistītās izmaksas</t>
  </si>
  <si>
    <t>Šajā lapā norādītas ziņojumā aprakstītās datu vākšanas alternatīvu izveides izmaksas.
Dažas šajā ziņojumā izklāstītās alternatīvas veido tikai daļu no izdevumiem par jauniem datu vākšanas procesiem, kas uzrādīti “Resursu novērtējuma” lapā.</t>
  </si>
  <si>
    <t>1.1. Ievade_Resursu aprēķins</t>
  </si>
  <si>
    <t>2.1. Resursu aprēķins</t>
  </si>
  <si>
    <t>VIIS attīstības projekta izmaksas</t>
  </si>
  <si>
    <t>VIIS uzturēšanas izmaksas gadā</t>
  </si>
  <si>
    <t>Pakalpojuma vadītāja (VIIS) mēneša bruto alga</t>
  </si>
  <si>
    <t>Informācijas sistēmas pārziņa (atbildīgs par datu vākšanu) mēneša bruto alga</t>
  </si>
  <si>
    <t>Vidējā stundas likme pirmsskolas izglītības pedagogam Latvijā</t>
  </si>
  <si>
    <t>Ikgadējās novērtējuma instrumentu izmaksas</t>
  </si>
  <si>
    <t>Profesionālās izglītības absolventu monitorings</t>
  </si>
  <si>
    <t>Absolventu monitoringa izmaksas gadā</t>
  </si>
  <si>
    <t>Īstenošanas izmaksas vienam uz vienu izglītojamo</t>
  </si>
  <si>
    <t>Izglītojamo skaits, kas piedalās novērtējumā</t>
  </si>
  <si>
    <t>Īstenošanas izmaksas uz vienu izglītojamo/pedagogu</t>
  </si>
  <si>
    <t>To izglītojamo/pedagogu skaits, kuri piedalās novērtējumā</t>
  </si>
  <si>
    <t>Aptaujas</t>
  </si>
  <si>
    <t>Ikgadējās izmaksas metodikas un novērtējuma anketu korekcijai</t>
  </si>
  <si>
    <t>Studiju pieteikšanās sistēma</t>
  </si>
  <si>
    <t>Studiju pieteikšanās sistēmas izstrādes izmaksas</t>
  </si>
  <si>
    <t>Pedagogu pašnovērtējums un pedagogu snieguma novērtējums, ko veic izglītības iestādes vadība</t>
  </si>
  <si>
    <t>Vidējā stundas likme IZM projekta vadītājam</t>
  </si>
  <si>
    <t>Monitoringa rīki</t>
  </si>
  <si>
    <t>Kapacitātes celšana</t>
  </si>
  <si>
    <t>Faktiskie dati no publiskās iepirkuma sistēmas</t>
  </si>
  <si>
    <t>Izmaksas ņemtas no VIIS attīstības projekta apraksta</t>
  </si>
  <si>
    <t>3% ir aptuvens ikgadējs pedagogu mainības rādītājs</t>
  </si>
  <si>
    <t>Balstoties uz publisko iepirkumu vēsturiskajiem datiem un ekspertu novērtējumu</t>
  </si>
  <si>
    <t>Izmaksas ir balstītas uz pieejamajām aptaujas rīku izmaksām tirgū</t>
  </si>
  <si>
    <t>Sekmīgai novērtējumu īstenošanai būs nepieciešami ikgadējas metodoloģijas un anketu korekcijas.</t>
  </si>
  <si>
    <t>Izmaksu pamatā ir publisko iepirkuma vēsturiskie dati un ekspertu novērtējums.</t>
  </si>
  <si>
    <t>Tiek lēsts, ka būs nepieciešams 300 stundu ilgs IZM projekta vadītāja darbs, lai apkopotu labāko praksi Latvijas izglītības iestādēs saistībā ar pedagogu pašnovērtējumiem un pedagogu snieguma novērtējumiem, ko veic izglītības iestādes vadība. Pamatojoties uz to, tiks izveidots vienots vērtēšanas process pirmsskolas, vispārējās un profesionālās izglītības iestādēs (piemēram, anketu, vadlīniju sagatavošana un  informācijas izplatīšana).</t>
  </si>
  <si>
    <t>Pēc ekspertu vērtējuma viens seminārs izmaksās ap 1000 EUR. Tāpat tiek plānots, ka tiks organizēti 5 semināri.</t>
  </si>
  <si>
    <t>Vadība</t>
  </si>
  <si>
    <t>Izglītojamais</t>
  </si>
  <si>
    <t>Darba devēji</t>
  </si>
  <si>
    <t>Personas, kas priekšlaicīgi pametušas mācības</t>
  </si>
  <si>
    <t>Kontekstuālie jautājumi</t>
  </si>
  <si>
    <t>Aptauju izmaksas</t>
  </si>
  <si>
    <t>Profesionālās izglītības iestāžu skaits</t>
  </si>
  <si>
    <t>Vienā profesionālās izglītības iestādē aptaujāto personu skaits</t>
  </si>
  <si>
    <t>Ja kāda no ievadēm ir norādītas lapā “Ievade_Resursu aprēķins”, tad tas šeit neatkārtojas.</t>
  </si>
  <si>
    <t>Izglītības iestādes vadības stundas likme</t>
  </si>
  <si>
    <t>IZM projekta vadītāja stundas likme</t>
  </si>
  <si>
    <t>Dati par profesionālās izglītības iestāžu beidzēju darba tirgus rezultātiem</t>
  </si>
  <si>
    <t>VIIS attīstības projekts</t>
  </si>
  <si>
    <t>VIIS uzturēšana</t>
  </si>
  <si>
    <t>Atalgojums</t>
  </si>
  <si>
    <t>Izlases veida apsekojums</t>
  </si>
  <si>
    <t>Izglītības iestādes pieejamības novērtēšana</t>
  </si>
  <si>
    <t>Bērnu snieguma novērtējums</t>
  </si>
  <si>
    <t>Datu monitoringa rīki</t>
  </si>
  <si>
    <t>Kapacitātes veidošana</t>
  </si>
  <si>
    <t>Izglītības monitoringa sistēmas semināri</t>
  </si>
  <si>
    <t>Monitoringa rīku apmācība</t>
  </si>
  <si>
    <t>Datu noliktavas (VIIS) apmācība</t>
  </si>
  <si>
    <t>Kopā gadā</t>
  </si>
  <si>
    <t>Novērtējums par apmierinātību ar iegūtajām kompetencēm</t>
  </si>
  <si>
    <t>Neapstrādātu datu vākšanas procesi (dati no augstākās izglītības iestādēm)</t>
  </si>
  <si>
    <t>Dati par Latvijas pilsoņiem, kas studē ārvalstu universitātēs</t>
  </si>
  <si>
    <t>A2. OECD statistika</t>
  </si>
  <si>
    <t>Absolventu monitorings salīdzinājumā ar darba spēka apsekojumu</t>
  </si>
  <si>
    <t>Tiek lēsts, ka nav atšķirības starp izmaksām, kas saistītas ar to jautājumu iekļaušanu jebkurā no apsekojumiem, kuri saistīti ar apmierinātību ar iegūtajām kompetencēm, tāpēc šis aspekts netiek novērtēts.</t>
  </si>
  <si>
    <t>Darba devēja sociālās apdrošināšanas likme,%</t>
  </si>
  <si>
    <t>Neapstrādāto datu vākšanas procesi (Dati no augstākās izglītības iestādēm un Valsts ieņēmumu dienesta; Finanšu dati; Dati par skolēnu mācību uzņēmumiem)</t>
  </si>
  <si>
    <t>1. Katrs pedagogs novērtē 50 bērnus
2. Viena pārbaude (vienam izglītojamam) ilgst 15 minūtes
3. 2,5 stundas tiek paredzētas sagatavošanās darbiem un pārtraukumiem</t>
  </si>
  <si>
    <t>Tiek pieņemts, ka šī novērtējuma īstenošanai būs nepieciešami 400 pedagogi (viens pedagogs uz aptuveni 50 piecus gadus veciem bērniem, kas apmeklē pirmsskolas izglītības iestādes)</t>
  </si>
  <si>
    <t>Ņemot vērā, ka pirmskolas pedagogu starpā, kas piedalās šajā novērtējumā, būs vērojama mainība, būs nepieciešams organizēt 1 papildu mācību sesiju.</t>
  </si>
  <si>
    <t>Izmaksas ir balstītas uz CSP resursu novērtējumu absolventu monitoringam (45 000 EUR augstākajās izglītības un profesionālās izglītības absolventu monitoringam).</t>
  </si>
  <si>
    <t>Izmaksu pamatā ir centralizēto eksāmenu un līdzīgu starptautisku novērtējumu īstenošanas izmaksas (IEA, OECD).
 Ieviešana ietver:
 - nepieciešamo materiālu sagatavošanu un izplatīšanu;
 - novērtējumu ieviešanu;
 - apmācības; 
 - rezultātu analīzi;
 - informācijas un publicitātes pasākumu īstenošanu.</t>
  </si>
  <si>
    <t>Sekmīgai novērtējumu īstenošanai būs nepieciešamas ikgadējas metodoloģijas un anketu korekcijas.</t>
  </si>
  <si>
    <t>Īstenošanas izmaksas tiek aprēķinātas, pieņemot, ka uz izlasē balstītā novērtējumā tiks pārbaudīti  400 izglītojamie (vajadzības gadījumā katrā izglītības posmā) no katras vērtējumā iekļautās klases: 3. klase, 5. klase, 8. klase (attiecas gan uz vispārējo izglītību, gan uz profesionālo izglītību) un 10.klase pakāpe (attiecas gan uz vispārējo izglītību, gan uz profesionālo izglītību). Tiks testēti arī 400 (katrā izglītības pakāpē) vispārējās izglītības un profesionālās izglītības pedagogi, kā arī akadēmiskais personāls augstākajā izglītībā.</t>
  </si>
  <si>
    <t>Atšķirīgām aptaujām (pēc izglītības veidiem/apsekojumu veidiem) ir vērojamas līdzības izglītības kvalitātes rādītājos, uz kuriem tie attiecas. Tādēļ, lai nodrošinātu konsekvenci un resursu efektīvu izmantošanu, tiek rosināts organizēt vienu publisko iepirkumu visu aptauju īstenošanai.</t>
  </si>
  <si>
    <t>Šo aplēsi izmanto, lai aprēķinātu, cik lielā mērā studējošo aptaujas izmaksas palielinātos, ja no apsekojuma tiktu izslēgti jautājumi, kas saistīti ar izglītojamo finansiālo stāvokli (salīdzinājumā ar scenāriju, kurā šie jautājumi nav iekļauti pētījumā).</t>
  </si>
  <si>
    <t>IZM papildu atalgojums papildu darba slodzes dēļ</t>
  </si>
  <si>
    <t>Daudzums (ja ir piemērojams)</t>
  </si>
  <si>
    <t>Vērtība</t>
  </si>
  <si>
    <t>Kopējais vienību skaits (2018)</t>
  </si>
  <si>
    <t>Daudzums (ja tā ir piemērojama)</t>
  </si>
  <si>
    <t>Lielākā daļa centrālo banku (Eiropas Centrālā banka, Anglijas Banka, Federālā Rezerve) plāno 2% inflāciju. Lai gan ir paredzams, ka šī vērtība katru gadu svārstīsies, ilgtermiņā tai vidēji  sasniegt 2%.</t>
  </si>
  <si>
    <t>IZM aplēses liecina, ka augstākās izglītības studiju pieteikšanās sistēmas izstrāde izmaksās ap 500-750 tūkstošus EUR. Šī intervāla vidējā vērtība tiek izmantota resursu novērtējumā.</t>
  </si>
  <si>
    <t>Tiek pieņemts, ka IZM vienu gadu izmantos Microsoft Power BI (50 licences IZM, viena licence uz vienu pašvaldību un citām publiskajām iestādēm – 30 licences.
 Izmaksu pamatā ir oficiālā Microsoft Power BI cenu informācija.</t>
  </si>
  <si>
    <t>Dati no apsekojumiem, kurus var iegūt no informācijas sistēmām</t>
  </si>
  <si>
    <t>Izlases veida novērtējuma izmaksas</t>
  </si>
  <si>
    <t>Tiek prognozēts, ka atalgojums (kopā ar darba devēja sociālās apdrošināšanas iemaksām) būs vienāds ar IZM informācijas sistēmas administratora pašreizējo vidējo atalgojumu. Tiek prognozēts, ka IZM būs nepieciešami divi papildu pilnas slodzes amata vienības, lai nodrošinātu papildu datu vākšanu, datu analīzi un koordināciju saistībā ar izglītības kvalitātes monitoringa sistēmas uzturēšanu.
Šajā pieņēmumā ir iekļauta papildu slodze, kas rastos, izstrādājot, uzlabojot un uzturot datu analīzes rīkus.</t>
  </si>
  <si>
    <t>Ja tiek izvēlēta netiešā mērījuma metode izglītības iestādes pieejamības novērtēšanai, tiek ieteikts iegūt datus no 3 galvenajiem mobilo sakaru operatoriem Latvijā.</t>
  </si>
  <si>
    <t>Tiek prognozēts, ka atalgojums (kopā ar darba devēja sociālās apdrošināšanas iemaksām) būs vienāds ar IZM projekta vadītāja pašreizējo vidējo atalgojumu. Tiek prognozēts, ka IZM būs nepieciešama papildu pilnas slodzes amata vienība, lai veiktu uzdevumus saistībā ar koordināciju, palīdzības nodrošināšanu un neapstrādātu datu ievākšanu.</t>
  </si>
  <si>
    <t>Stundas, kas nepieciešamas bērnu snieguma novērtēšanas vērtētāju mācībām</t>
  </si>
  <si>
    <t>Stundas, kas nepieciešamas, bērnu novērtēšanai (uz vienu pedagogu)</t>
  </si>
  <si>
    <t>Vienas bērnu snieguma novērtēšanas mācību sesijas izmaksas</t>
  </si>
  <si>
    <t>Mācību sesijas izmaksas jaunajiem pedagogiem, kuri apmeklē mācības (katru gadu)</t>
  </si>
  <si>
    <t>Tiek pieņemts, ka būs nepieciešamas 10 mācību stundas 400 pedagogu mācībām, kuri īstenos šo novērtējumu (40 pedagogi vienā mācību sesijā).</t>
  </si>
  <si>
    <t>Tiek pieņemts, ka IZM būs nepieciešamas papildu 0,33 slodzes amata vienība, lai pārvaldītu un administrētu bērnu snieguma novērtēšanas procesu. Tiek prognozēts, ka atalgojums (kopā ar darba devēja sociālās apdrošināšanas iemaksām) būs vienāds ar IZM projekta vadītāja pašreizējo vidējo atalgojumu.</t>
  </si>
  <si>
    <t>Pirmsskolas pedagogu īpatsvars, kuri apmeklē mācības (katru gadu, izņemot 1. gadu)</t>
  </si>
  <si>
    <t>Kopumā jāizstrādā 3 metodoloģijas — katra izvēlētajai mācību jomai/struktūrai: (1) matemātika; (2) lasīšana; (3) caurviju kompetencēm.</t>
  </si>
  <si>
    <t>Īstenošanas izmaksas aprēķina, pieņemot, ka izlasē balstīti novērtējumi būs saistīti ar trim mācību jomām: 1) matemātiku; 2) lasīšanu; 3) caurviju kompetencēm (kritiskā domāšana, problēmu risināšana, radošums, pilsoniskā līdzdalība utt.) un pārbaudīs 400 izglītojamos (vajadzības gadījumā katrā izglītības posmā) no katras vērtējumā iekļautās klases: 3. klase, 5. klase, 8. klase (attiecas gan uz vispārējo izglītību, gan uz profesionālo izglītību).</t>
  </si>
  <si>
    <t>Tiek prognozēts, ka 10 IZM speciālisti administrēs izglītības monitoringa sistēmas zināšanu bāzi. Zināšanu bāzes izmaksas ir balstītas uz tirgus vidējo rādītāju.
Cenu noteikšanas pamatā ir pieejamās zināšanu bāzes izcenojums tirgū.</t>
  </si>
  <si>
    <t>Gada izdevumi (ģenerālkopa)</t>
  </si>
  <si>
    <t>Ieteicamais izlases lielums</t>
  </si>
  <si>
    <t>-</t>
  </si>
  <si>
    <t>Tiek lēsts, ka katras izglītības iestādes vadība pavadīs 5 stundas administrējot apsekošanas procesu un iesniedzot rezultātus IZM.
Stundas likme aprēķināta, izmantojot no 10 pašvaldībām saņemtos datus (vidējais izglītības iestāžu vadības atalgojums - 1144 EUR)</t>
  </si>
  <si>
    <t>IZM projekta vadītāja stundas alga ir norādīta lapā “Ievade_Resursu aprēķins”.
Tiek lēsts, ka IZM projektu vadītājs aizvadīs 100 stundas izglītības iestādes pieejamības aptauju vadīšanā un administrēšanā, kā arī tās rezultātu analizēšanā.</t>
  </si>
  <si>
    <t>Izmaksas, kas saistītas ar darba tirgus rezultātu jautājumu pievienošanu darbaspēka apsekojumam (katram respondentam)</t>
  </si>
  <si>
    <t>Tiek lēsts, ka 8 –10 jautājumi būs jāpievieno darbaspēka apsekojumam (neizmantojot absolventu monitoringa sistēmu), kas ļautu novērtēt absolventu darba tirgus rezultātus. Aprēķinā izmantota darbaspēka apsekojuma izlase (29952).</t>
  </si>
  <si>
    <t>Aptauju veikšanas izmaksas</t>
  </si>
  <si>
    <t>Uzkrātās izmaksas par visām aptaujām, ja ir izvēlēta izlases metode (izņemot priekšlaicīgi mācības pārtraukušos un vadības aptaujas). Sīkāka informācija par izmaksu sadalījumu ir sniegta lapā “Ievade_Aptauju izmaksas” .</t>
  </si>
  <si>
    <t>Viena izglītības kvalitātes monitoringa sistēmas semināra izmaksas</t>
  </si>
  <si>
    <t>Monitoringa rīku mācību izmaksas</t>
  </si>
  <si>
    <t>Datu noliktavas (VIIS) mācību izmaksas</t>
  </si>
  <si>
    <t>SAP BO speciālistu mācību izmaksas</t>
  </si>
  <si>
    <t>Ikgadējas speciālistu mācību izmaksas</t>
  </si>
  <si>
    <t>Tiek prognozēts, ka atalgojums (kopā ar darba devēja sociālās apdrošināšanas iemaksām) būs vienāds ar IZM komunikācijas koordinatora  vidējo atalgojumu.</t>
  </si>
  <si>
    <t>Komunikācijas koordinators</t>
  </si>
  <si>
    <t>A2. Ģenerālkopas apsekojumi (census)</t>
  </si>
  <si>
    <t>No izlases veida uz ģenerālkopu</t>
  </si>
  <si>
    <t>A2. Darbaspēka apsekojums</t>
  </si>
  <si>
    <t>A1. Absolventu monitoringā iegūti dati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</si>
</sst>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 _€_-;\-* #,##0\ _€_-;_-* &quot;-&quot;??\ _€_-;_-@_-"/>
    <numFmt numFmtId="166" formatCode="0.0%"/>
  </numFmts>
  <fonts count="11"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name val="Calibri"/>
      <family val="2"/>
      <charset val="186"/>
      <scheme val="minor"/>
    </font>
    <font>
      <i/>
      <sz val="11"/>
      <color theme="1"/>
      <name val="Calibri"/>
      <family val="2"/>
      <charset val="186"/>
      <scheme val="minor"/>
    </font>
    <font>
      <sz val="11"/>
      <color rgb="FFFF0000"/>
      <name val="Calibri"/>
      <family val="2"/>
      <charset val="186"/>
      <scheme val="minor"/>
    </font>
    <font>
      <b/>
      <sz val="11"/>
      <name val="Calibri"/>
      <family val="2"/>
      <charset val="186"/>
      <scheme val="minor"/>
    </font>
    <font>
      <sz val="12"/>
      <color theme="1"/>
      <name val="Calibri"/>
      <family val="2"/>
      <charset val="186"/>
      <scheme val="minor"/>
    </font>
    <font>
      <b/>
      <sz val="12"/>
      <color theme="1"/>
      <name val="Calibri"/>
      <family val="2"/>
      <charset val="186"/>
      <scheme val="minor"/>
    </font>
    <font>
      <b/>
      <sz val="12"/>
      <color rgb="FF134753"/>
      <name val="Calibri"/>
      <family val="2"/>
      <charset val="186"/>
      <scheme val="minor"/>
    </font>
    <font>
      <sz val="12"/>
      <name val="Calibri"/>
      <family val="2"/>
      <charset val="186"/>
      <scheme val="minor"/>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35">
    <xf numFmtId="0" fontId="0" fillId="0" borderId="0" xfId="0"/>
    <xf numFmtId="0" fontId="0" fillId="2" borderId="0" xfId="0" applyFill="1"/>
    <xf numFmtId="0" fontId="2" fillId="2" borderId="0" xfId="0" applyFont="1" applyFill="1"/>
    <xf numFmtId="165" fontId="0" fillId="2" borderId="0" xfId="1" applyNumberFormat="1" applyFont="1" applyFill="1"/>
    <xf numFmtId="0" fontId="0" fillId="5" borderId="3" xfId="0" applyFill="1" applyBorder="1"/>
    <xf numFmtId="0" fontId="0" fillId="2" borderId="0" xfId="0" applyFill="1" applyBorder="1"/>
    <xf numFmtId="0" fontId="0" fillId="2" borderId="4" xfId="0" applyFill="1" applyBorder="1"/>
    <xf numFmtId="0" fontId="0" fillId="2" borderId="6" xfId="0" applyFill="1" applyBorder="1"/>
    <xf numFmtId="0" fontId="0" fillId="2" borderId="2" xfId="0" applyFill="1" applyBorder="1"/>
    <xf numFmtId="0" fontId="2" fillId="2" borderId="4" xfId="0" applyFont="1" applyFill="1" applyBorder="1"/>
    <xf numFmtId="0" fontId="0" fillId="2" borderId="0" xfId="0" applyFill="1" applyBorder="1" applyAlignment="1">
      <alignment wrapText="1"/>
    </xf>
    <xf numFmtId="0" fontId="0" fillId="2" borderId="8" xfId="0" applyFill="1" applyBorder="1"/>
    <xf numFmtId="165" fontId="0" fillId="2" borderId="8" xfId="1" applyNumberFormat="1" applyFont="1" applyFill="1" applyBorder="1"/>
    <xf numFmtId="165" fontId="0" fillId="2" borderId="9" xfId="1" applyNumberFormat="1" applyFont="1" applyFill="1" applyBorder="1"/>
    <xf numFmtId="0" fontId="0" fillId="2" borderId="9" xfId="0" applyFill="1" applyBorder="1"/>
    <xf numFmtId="0" fontId="0" fillId="2" borderId="3" xfId="0" applyFill="1" applyBorder="1"/>
    <xf numFmtId="165" fontId="0" fillId="2" borderId="7" xfId="1" applyNumberFormat="1" applyFont="1" applyFill="1" applyBorder="1"/>
    <xf numFmtId="0" fontId="0" fillId="2" borderId="1" xfId="0" applyFill="1" applyBorder="1"/>
    <xf numFmtId="9" fontId="0" fillId="2" borderId="1" xfId="2" applyFont="1" applyFill="1" applyBorder="1"/>
    <xf numFmtId="0" fontId="2" fillId="3" borderId="1" xfId="0" applyFont="1" applyFill="1" applyBorder="1"/>
    <xf numFmtId="0" fontId="2" fillId="3" borderId="1" xfId="0" applyFont="1" applyFill="1" applyBorder="1" applyAlignment="1">
      <alignment wrapText="1"/>
    </xf>
    <xf numFmtId="0" fontId="0" fillId="2" borderId="1" xfId="0" applyFill="1" applyBorder="1" applyAlignment="1">
      <alignment wrapText="1"/>
    </xf>
    <xf numFmtId="9" fontId="0" fillId="2" borderId="1" xfId="0" applyNumberFormat="1" applyFill="1" applyBorder="1"/>
    <xf numFmtId="3" fontId="0" fillId="2" borderId="1" xfId="0" applyNumberFormat="1" applyFill="1" applyBorder="1"/>
    <xf numFmtId="166" fontId="0" fillId="2" borderId="1" xfId="0" applyNumberFormat="1" applyFill="1" applyBorder="1"/>
    <xf numFmtId="0" fontId="2" fillId="5" borderId="7" xfId="0" applyFont="1" applyFill="1" applyBorder="1"/>
    <xf numFmtId="0" fontId="0" fillId="2" borderId="1" xfId="0" applyFont="1" applyFill="1" applyBorder="1"/>
    <xf numFmtId="0" fontId="0" fillId="2" borderId="1" xfId="0" applyFont="1" applyFill="1" applyBorder="1" applyAlignment="1">
      <alignment wrapText="1"/>
    </xf>
    <xf numFmtId="0" fontId="2" fillId="2" borderId="2" xfId="0" applyFont="1" applyFill="1" applyBorder="1"/>
    <xf numFmtId="165" fontId="0" fillId="2" borderId="7" xfId="0" applyNumberFormat="1" applyFill="1" applyBorder="1"/>
    <xf numFmtId="0" fontId="0" fillId="2" borderId="12" xfId="0" applyFont="1" applyFill="1" applyBorder="1" applyAlignment="1">
      <alignment wrapText="1"/>
    </xf>
    <xf numFmtId="0" fontId="5" fillId="2" borderId="0" xfId="0" applyFont="1" applyFill="1"/>
    <xf numFmtId="165" fontId="0" fillId="2" borderId="1" xfId="1" applyNumberFormat="1" applyFont="1" applyFill="1" applyBorder="1" applyAlignment="1">
      <alignment horizontal="right" wrapText="1"/>
    </xf>
    <xf numFmtId="0" fontId="3" fillId="2" borderId="1" xfId="0" applyFont="1" applyFill="1" applyBorder="1" applyAlignment="1">
      <alignment wrapText="1"/>
    </xf>
    <xf numFmtId="0" fontId="2" fillId="0" borderId="0" xfId="0" applyFont="1"/>
    <xf numFmtId="165" fontId="2" fillId="2" borderId="8" xfId="0" applyNumberFormat="1" applyFont="1" applyFill="1" applyBorder="1"/>
    <xf numFmtId="165" fontId="2" fillId="2" borderId="9" xfId="0" applyNumberFormat="1" applyFont="1" applyFill="1" applyBorder="1"/>
    <xf numFmtId="0" fontId="2" fillId="2" borderId="5" xfId="0" applyFont="1" applyFill="1" applyBorder="1"/>
    <xf numFmtId="0" fontId="2" fillId="2" borderId="6" xfId="0" applyFont="1" applyFill="1" applyBorder="1"/>
    <xf numFmtId="0" fontId="0" fillId="2" borderId="15" xfId="0" applyFill="1" applyBorder="1"/>
    <xf numFmtId="164" fontId="0" fillId="2" borderId="8" xfId="1" applyFont="1" applyFill="1" applyBorder="1"/>
    <xf numFmtId="0" fontId="0" fillId="0" borderId="1" xfId="0" applyBorder="1"/>
    <xf numFmtId="0" fontId="0" fillId="0" borderId="1" xfId="0" applyBorder="1" applyAlignment="1">
      <alignment wrapText="1"/>
    </xf>
    <xf numFmtId="0" fontId="4" fillId="0" borderId="0" xfId="0" applyFont="1" applyAlignment="1">
      <alignment vertical="center"/>
    </xf>
    <xf numFmtId="0" fontId="0" fillId="0" borderId="0" xfId="0" applyAlignment="1">
      <alignment vertical="center"/>
    </xf>
    <xf numFmtId="0" fontId="0" fillId="2" borderId="0" xfId="0" applyFill="1" applyAlignment="1">
      <alignment vertical="center"/>
    </xf>
    <xf numFmtId="1" fontId="0" fillId="0" borderId="1" xfId="0" applyNumberFormat="1" applyBorder="1"/>
    <xf numFmtId="49" fontId="0" fillId="0" borderId="1" xfId="0" applyNumberFormat="1" applyBorder="1" applyAlignment="1">
      <alignment horizontal="right"/>
    </xf>
    <xf numFmtId="165" fontId="0" fillId="0" borderId="1" xfId="1" applyNumberFormat="1" applyFont="1" applyBorder="1"/>
    <xf numFmtId="165" fontId="0" fillId="0" borderId="1" xfId="1" applyNumberFormat="1" applyFont="1" applyFill="1" applyBorder="1"/>
    <xf numFmtId="165" fontId="3" fillId="0" borderId="1" xfId="1" applyNumberFormat="1" applyFont="1" applyBorder="1"/>
    <xf numFmtId="165" fontId="0" fillId="2" borderId="1" xfId="1" applyNumberFormat="1" applyFont="1" applyFill="1" applyBorder="1"/>
    <xf numFmtId="165" fontId="0" fillId="0" borderId="1" xfId="1" applyNumberFormat="1" applyFont="1" applyBorder="1" applyAlignment="1">
      <alignment wrapText="1"/>
    </xf>
    <xf numFmtId="165" fontId="2" fillId="2" borderId="0" xfId="1" applyNumberFormat="1" applyFont="1" applyFill="1"/>
    <xf numFmtId="165" fontId="0" fillId="2" borderId="9" xfId="0" applyNumberFormat="1" applyFill="1" applyBorder="1"/>
    <xf numFmtId="0" fontId="2" fillId="6" borderId="10" xfId="0" applyFont="1" applyFill="1" applyBorder="1" applyAlignment="1">
      <alignment horizontal="left"/>
    </xf>
    <xf numFmtId="0" fontId="2" fillId="6" borderId="11" xfId="0" applyFont="1" applyFill="1" applyBorder="1" applyAlignment="1">
      <alignment horizontal="left"/>
    </xf>
    <xf numFmtId="0" fontId="2" fillId="6" borderId="12" xfId="0" applyFont="1" applyFill="1" applyBorder="1" applyAlignment="1">
      <alignment horizontal="left"/>
    </xf>
    <xf numFmtId="0" fontId="0" fillId="0" borderId="1" xfId="0" applyBorder="1" applyAlignment="1">
      <alignment horizontal="right"/>
    </xf>
    <xf numFmtId="0" fontId="2" fillId="2" borderId="4" xfId="0" applyFont="1" applyFill="1" applyBorder="1" applyAlignment="1">
      <alignment horizontal="left"/>
    </xf>
    <xf numFmtId="1" fontId="0" fillId="2" borderId="8" xfId="1" applyNumberFormat="1" applyFont="1" applyFill="1" applyBorder="1"/>
    <xf numFmtId="3" fontId="3" fillId="2" borderId="1" xfId="0" applyNumberFormat="1" applyFont="1" applyFill="1" applyBorder="1"/>
    <xf numFmtId="0" fontId="2" fillId="0" borderId="1" xfId="0" applyFont="1" applyFill="1" applyBorder="1" applyAlignment="1">
      <alignment horizontal="left" wrapText="1"/>
    </xf>
    <xf numFmtId="0" fontId="0" fillId="0" borderId="1" xfId="0" applyFont="1" applyFill="1" applyBorder="1" applyAlignment="1">
      <alignment horizontal="left" wrapText="1"/>
    </xf>
    <xf numFmtId="0" fontId="0" fillId="0" borderId="1" xfId="0" applyFont="1" applyFill="1" applyBorder="1" applyAlignment="1">
      <alignment horizontal="right" wrapText="1"/>
    </xf>
    <xf numFmtId="0" fontId="0" fillId="0" borderId="1" xfId="0" applyFill="1" applyBorder="1" applyAlignment="1">
      <alignment wrapText="1"/>
    </xf>
    <xf numFmtId="0" fontId="0" fillId="0" borderId="1" xfId="0" applyFill="1" applyBorder="1"/>
    <xf numFmtId="0" fontId="7" fillId="5" borderId="3" xfId="0" applyFont="1" applyFill="1" applyBorder="1"/>
    <xf numFmtId="0" fontId="8" fillId="5" borderId="7" xfId="0" applyFont="1" applyFill="1" applyBorder="1"/>
    <xf numFmtId="0" fontId="8" fillId="0" borderId="10" xfId="0" applyFont="1" applyFill="1" applyBorder="1"/>
    <xf numFmtId="0" fontId="7" fillId="0" borderId="11" xfId="0" applyFont="1" applyFill="1" applyBorder="1"/>
    <xf numFmtId="0" fontId="7" fillId="2" borderId="1" xfId="0" applyFont="1" applyFill="1" applyBorder="1"/>
    <xf numFmtId="0" fontId="7" fillId="2" borderId="4" xfId="0" applyFont="1" applyFill="1" applyBorder="1"/>
    <xf numFmtId="0" fontId="7" fillId="2" borderId="0" xfId="0" applyFont="1" applyFill="1" applyBorder="1"/>
    <xf numFmtId="165" fontId="7" fillId="2" borderId="8" xfId="1" applyNumberFormat="1" applyFont="1" applyFill="1" applyBorder="1"/>
    <xf numFmtId="0" fontId="8" fillId="2" borderId="4" xfId="0" applyFont="1" applyFill="1" applyBorder="1"/>
    <xf numFmtId="0" fontId="7" fillId="2" borderId="8" xfId="0" applyFont="1" applyFill="1" applyBorder="1"/>
    <xf numFmtId="0" fontId="8" fillId="2" borderId="2" xfId="0" applyFont="1" applyFill="1" applyBorder="1"/>
    <xf numFmtId="0" fontId="7" fillId="2" borderId="14" xfId="0" applyFont="1" applyFill="1" applyBorder="1" applyAlignment="1">
      <alignment wrapText="1"/>
    </xf>
    <xf numFmtId="165" fontId="7" fillId="2" borderId="7" xfId="1" applyNumberFormat="1" applyFont="1" applyFill="1" applyBorder="1"/>
    <xf numFmtId="165" fontId="7" fillId="2" borderId="7" xfId="0" applyNumberFormat="1" applyFont="1" applyFill="1" applyBorder="1"/>
    <xf numFmtId="0" fontId="7" fillId="2" borderId="13" xfId="0" applyFont="1" applyFill="1" applyBorder="1"/>
    <xf numFmtId="165" fontId="7" fillId="2" borderId="8" xfId="0" applyNumberFormat="1" applyFont="1" applyFill="1" applyBorder="1"/>
    <xf numFmtId="0" fontId="7" fillId="2" borderId="0" xfId="0" applyFont="1" applyFill="1" applyBorder="1" applyAlignment="1">
      <alignment wrapText="1"/>
    </xf>
    <xf numFmtId="0" fontId="7" fillId="2" borderId="2" xfId="0" applyFont="1" applyFill="1" applyBorder="1"/>
    <xf numFmtId="0" fontId="7" fillId="2" borderId="3" xfId="0" applyFont="1" applyFill="1" applyBorder="1"/>
    <xf numFmtId="0" fontId="9" fillId="2" borderId="4" xfId="0" applyFont="1" applyFill="1" applyBorder="1"/>
    <xf numFmtId="0" fontId="10" fillId="2" borderId="0" xfId="0" applyFont="1" applyFill="1" applyBorder="1"/>
    <xf numFmtId="0" fontId="7" fillId="2" borderId="5" xfId="0" applyFont="1" applyFill="1" applyBorder="1"/>
    <xf numFmtId="165" fontId="7" fillId="2" borderId="9" xfId="1" applyNumberFormat="1" applyFont="1" applyFill="1" applyBorder="1"/>
    <xf numFmtId="0" fontId="8" fillId="2" borderId="0" xfId="0" applyFont="1" applyFill="1"/>
    <xf numFmtId="165" fontId="8" fillId="2" borderId="0" xfId="0" applyNumberFormat="1" applyFont="1" applyFill="1"/>
    <xf numFmtId="0" fontId="7" fillId="2" borderId="0" xfId="0" applyFont="1" applyFill="1"/>
    <xf numFmtId="0" fontId="8" fillId="2" borderId="1" xfId="0" applyFont="1" applyFill="1" applyBorder="1"/>
    <xf numFmtId="165" fontId="8" fillId="2" borderId="1" xfId="0" applyNumberFormat="1" applyFont="1" applyFill="1" applyBorder="1"/>
    <xf numFmtId="0" fontId="2" fillId="7" borderId="1" xfId="0" applyFont="1" applyFill="1" applyBorder="1"/>
    <xf numFmtId="0" fontId="3" fillId="0" borderId="12" xfId="0" applyFont="1" applyFill="1" applyBorder="1" applyAlignment="1">
      <alignment wrapText="1"/>
    </xf>
    <xf numFmtId="0" fontId="0" fillId="0" borderId="11" xfId="0" applyFont="1" applyFill="1" applyBorder="1" applyAlignment="1">
      <alignment horizontal="right" wrapText="1"/>
    </xf>
    <xf numFmtId="0" fontId="0" fillId="0" borderId="12" xfId="0" applyFont="1" applyFill="1" applyBorder="1" applyAlignment="1">
      <alignment horizontal="left" wrapText="1"/>
    </xf>
    <xf numFmtId="165" fontId="7" fillId="2" borderId="14" xfId="1" applyNumberFormat="1" applyFont="1" applyFill="1" applyBorder="1"/>
    <xf numFmtId="0" fontId="7" fillId="2" borderId="15" xfId="0" applyFont="1" applyFill="1" applyBorder="1"/>
    <xf numFmtId="0" fontId="7" fillId="2" borderId="14" xfId="0" applyFont="1" applyFill="1" applyBorder="1"/>
    <xf numFmtId="0" fontId="0" fillId="2" borderId="14" xfId="0" applyFill="1" applyBorder="1" applyAlignment="1">
      <alignment wrapText="1"/>
    </xf>
    <xf numFmtId="0" fontId="0" fillId="2" borderId="14" xfId="0" applyFill="1" applyBorder="1"/>
    <xf numFmtId="0" fontId="2" fillId="4" borderId="10" xfId="0" applyFont="1" applyFill="1" applyBorder="1" applyAlignment="1">
      <alignment horizontal="center"/>
    </xf>
    <xf numFmtId="0" fontId="2" fillId="4" borderId="11" xfId="0" applyFont="1" applyFill="1" applyBorder="1" applyAlignment="1">
      <alignment horizontal="center"/>
    </xf>
    <xf numFmtId="0" fontId="2" fillId="4" borderId="12" xfId="0" applyFont="1" applyFill="1" applyBorder="1" applyAlignment="1">
      <alignment horizontal="center"/>
    </xf>
    <xf numFmtId="0" fontId="2" fillId="6" borderId="10" xfId="0" applyFont="1" applyFill="1" applyBorder="1" applyAlignment="1">
      <alignment horizontal="left" wrapText="1"/>
    </xf>
    <xf numFmtId="0" fontId="2" fillId="6" borderId="11" xfId="0" applyFont="1" applyFill="1" applyBorder="1" applyAlignment="1">
      <alignment horizontal="left" wrapText="1"/>
    </xf>
    <xf numFmtId="0" fontId="2" fillId="6" borderId="12" xfId="0" applyFont="1" applyFill="1" applyBorder="1" applyAlignment="1">
      <alignment horizontal="left" wrapText="1"/>
    </xf>
    <xf numFmtId="0" fontId="6" fillId="6" borderId="10" xfId="0" applyFont="1" applyFill="1" applyBorder="1" applyAlignment="1">
      <alignment horizontal="left" wrapText="1"/>
    </xf>
    <xf numFmtId="0" fontId="6" fillId="6" borderId="11" xfId="0" applyFont="1" applyFill="1" applyBorder="1" applyAlignment="1">
      <alignment horizontal="left" wrapText="1"/>
    </xf>
    <xf numFmtId="0" fontId="6" fillId="6" borderId="12" xfId="0" applyFont="1" applyFill="1" applyBorder="1" applyAlignment="1">
      <alignment horizontal="left" wrapText="1"/>
    </xf>
    <xf numFmtId="0" fontId="2" fillId="6" borderId="10" xfId="0" applyFont="1" applyFill="1" applyBorder="1" applyAlignment="1">
      <alignment horizontal="left"/>
    </xf>
    <xf numFmtId="0" fontId="2" fillId="6" borderId="11" xfId="0" applyFont="1" applyFill="1" applyBorder="1" applyAlignment="1">
      <alignment horizontal="left"/>
    </xf>
    <xf numFmtId="0" fontId="2" fillId="6" borderId="12" xfId="0" applyFont="1" applyFill="1" applyBorder="1" applyAlignment="1">
      <alignment horizontal="left"/>
    </xf>
    <xf numFmtId="0" fontId="2" fillId="4" borderId="10" xfId="0" applyFont="1" applyFill="1" applyBorder="1" applyAlignment="1">
      <alignment horizontal="left"/>
    </xf>
    <xf numFmtId="0" fontId="2" fillId="4" borderId="11" xfId="0" applyFont="1" applyFill="1" applyBorder="1" applyAlignment="1">
      <alignment horizontal="left"/>
    </xf>
    <xf numFmtId="0" fontId="2" fillId="4" borderId="12" xfId="0" applyFont="1" applyFill="1" applyBorder="1" applyAlignment="1">
      <alignment horizontal="left"/>
    </xf>
    <xf numFmtId="0" fontId="2" fillId="4" borderId="5" xfId="0" applyFont="1" applyFill="1" applyBorder="1" applyAlignment="1">
      <alignment horizontal="left"/>
    </xf>
    <xf numFmtId="0" fontId="2" fillId="4" borderId="6" xfId="0" applyFont="1" applyFill="1" applyBorder="1" applyAlignment="1">
      <alignment horizontal="left"/>
    </xf>
    <xf numFmtId="0" fontId="2" fillId="4" borderId="15" xfId="0" applyFont="1" applyFill="1" applyBorder="1" applyAlignment="1">
      <alignment horizontal="left"/>
    </xf>
    <xf numFmtId="0" fontId="4" fillId="2" borderId="6" xfId="0" applyFont="1" applyFill="1" applyBorder="1" applyAlignment="1">
      <alignment horizontal="left" vertical="center" wrapText="1"/>
    </xf>
    <xf numFmtId="165" fontId="4" fillId="6" borderId="2" xfId="0" applyNumberFormat="1" applyFont="1" applyFill="1" applyBorder="1" applyAlignment="1">
      <alignment horizontal="left" wrapText="1"/>
    </xf>
    <xf numFmtId="165" fontId="4" fillId="6" borderId="3" xfId="0" applyNumberFormat="1" applyFont="1" applyFill="1" applyBorder="1" applyAlignment="1">
      <alignment horizontal="left" wrapText="1"/>
    </xf>
    <xf numFmtId="165" fontId="4" fillId="6" borderId="14" xfId="0" applyNumberFormat="1" applyFont="1" applyFill="1" applyBorder="1" applyAlignment="1">
      <alignment horizontal="left" wrapText="1"/>
    </xf>
    <xf numFmtId="165" fontId="4" fillId="6" borderId="4" xfId="0" applyNumberFormat="1" applyFont="1" applyFill="1" applyBorder="1" applyAlignment="1">
      <alignment horizontal="left" wrapText="1"/>
    </xf>
    <xf numFmtId="165" fontId="4" fillId="6" borderId="0" xfId="0" applyNumberFormat="1" applyFont="1" applyFill="1" applyBorder="1" applyAlignment="1">
      <alignment horizontal="left" wrapText="1"/>
    </xf>
    <xf numFmtId="165" fontId="4" fillId="6" borderId="13" xfId="0" applyNumberFormat="1" applyFont="1" applyFill="1" applyBorder="1" applyAlignment="1">
      <alignment horizontal="left" wrapText="1"/>
    </xf>
    <xf numFmtId="165" fontId="4" fillId="6" borderId="2" xfId="1" applyNumberFormat="1" applyFont="1" applyFill="1" applyBorder="1" applyAlignment="1">
      <alignment horizontal="left" vertical="top" wrapText="1"/>
    </xf>
    <xf numFmtId="165" fontId="4" fillId="6" borderId="3" xfId="1" applyNumberFormat="1" applyFont="1" applyFill="1" applyBorder="1" applyAlignment="1">
      <alignment horizontal="left" vertical="top" wrapText="1"/>
    </xf>
    <xf numFmtId="165" fontId="4" fillId="6" borderId="14" xfId="1" applyNumberFormat="1" applyFont="1" applyFill="1" applyBorder="1" applyAlignment="1">
      <alignment horizontal="left" vertical="top" wrapText="1"/>
    </xf>
    <xf numFmtId="165" fontId="4" fillId="6" borderId="4" xfId="1" applyNumberFormat="1" applyFont="1" applyFill="1" applyBorder="1" applyAlignment="1">
      <alignment horizontal="left" vertical="top" wrapText="1"/>
    </xf>
    <xf numFmtId="165" fontId="4" fillId="6" borderId="0" xfId="1" applyNumberFormat="1" applyFont="1" applyFill="1" applyBorder="1" applyAlignment="1">
      <alignment horizontal="left" vertical="top" wrapText="1"/>
    </xf>
    <xf numFmtId="165" fontId="4" fillId="6" borderId="13" xfId="1" applyNumberFormat="1" applyFont="1" applyFill="1" applyBorder="1" applyAlignment="1">
      <alignment horizontal="left" vertical="top"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DB031-5D1D-4600-80FA-3D4B609D74A2}">
  <dimension ref="A1:B6"/>
  <sheetViews>
    <sheetView tabSelected="1" workbookViewId="0"/>
  </sheetViews>
  <sheetFormatPr defaultColWidth="9.140625" defaultRowHeight="15" x14ac:dyDescent="0.25"/>
  <cols>
    <col min="1" max="1" width="29.42578125" style="1" customWidth="1"/>
    <col min="2" max="2" width="76.140625" style="1" customWidth="1"/>
    <col min="3" max="16384" width="9.140625" style="1"/>
  </cols>
  <sheetData>
    <row r="1" spans="1:2" x14ac:dyDescent="0.25">
      <c r="A1" s="95" t="s">
        <v>123</v>
      </c>
      <c r="B1" s="95" t="s">
        <v>0</v>
      </c>
    </row>
    <row r="2" spans="1:2" ht="30" x14ac:dyDescent="0.25">
      <c r="A2" s="66" t="s">
        <v>130</v>
      </c>
      <c r="B2" s="21" t="s">
        <v>127</v>
      </c>
    </row>
    <row r="3" spans="1:2" x14ac:dyDescent="0.25">
      <c r="A3" s="66" t="s">
        <v>124</v>
      </c>
      <c r="B3" s="21" t="s">
        <v>126</v>
      </c>
    </row>
    <row r="4" spans="1:2" ht="30" x14ac:dyDescent="0.25">
      <c r="A4" s="66" t="s">
        <v>125</v>
      </c>
      <c r="B4" s="21" t="s">
        <v>128</v>
      </c>
    </row>
    <row r="5" spans="1:2" ht="30" x14ac:dyDescent="0.25">
      <c r="A5" s="66" t="s">
        <v>131</v>
      </c>
      <c r="B5" s="21" t="s">
        <v>1</v>
      </c>
    </row>
    <row r="6" spans="1:2" ht="60" x14ac:dyDescent="0.25">
      <c r="A6" s="66" t="s">
        <v>2</v>
      </c>
      <c r="B6" s="21" t="s">
        <v>129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0"/>
  <sheetViews>
    <sheetView topLeftCell="C1" zoomScale="90" zoomScaleNormal="90" workbookViewId="0">
      <selection activeCell="A44" sqref="A44"/>
    </sheetView>
  </sheetViews>
  <sheetFormatPr defaultColWidth="8.7109375" defaultRowHeight="15" x14ac:dyDescent="0.25"/>
  <cols>
    <col min="1" max="1" width="30.5703125" style="1" bestFit="1" customWidth="1"/>
    <col min="2" max="2" width="10.42578125" style="1" customWidth="1"/>
    <col min="3" max="3" width="19.42578125" style="1" customWidth="1"/>
    <col min="4" max="4" width="74.7109375" style="1" customWidth="1"/>
    <col min="5" max="5" width="8.7109375" style="1"/>
    <col min="6" max="6" width="32.28515625" style="1" bestFit="1" customWidth="1"/>
    <col min="7" max="7" width="8.7109375" style="1"/>
    <col min="8" max="8" width="43.42578125" style="1" customWidth="1"/>
    <col min="9" max="16384" width="8.7109375" style="1"/>
  </cols>
  <sheetData>
    <row r="1" spans="1:8" x14ac:dyDescent="0.25">
      <c r="A1" s="2" t="s">
        <v>3</v>
      </c>
      <c r="F1" s="2" t="s">
        <v>4</v>
      </c>
    </row>
    <row r="2" spans="1:8" ht="30.6" customHeight="1" x14ac:dyDescent="0.25">
      <c r="A2" s="19" t="s">
        <v>5</v>
      </c>
      <c r="B2" s="19" t="s">
        <v>204</v>
      </c>
      <c r="C2" s="20" t="s">
        <v>203</v>
      </c>
      <c r="D2" s="19" t="s">
        <v>6</v>
      </c>
      <c r="F2" s="19" t="s">
        <v>7</v>
      </c>
      <c r="G2" s="19" t="s">
        <v>204</v>
      </c>
      <c r="H2" s="19" t="s">
        <v>8</v>
      </c>
    </row>
    <row r="3" spans="1:8" x14ac:dyDescent="0.25">
      <c r="A3" s="104" t="s">
        <v>9</v>
      </c>
      <c r="B3" s="105"/>
      <c r="C3" s="105"/>
      <c r="D3" s="106"/>
      <c r="F3" s="17" t="s">
        <v>191</v>
      </c>
      <c r="G3" s="18">
        <v>0.2409</v>
      </c>
      <c r="H3" s="17"/>
    </row>
    <row r="4" spans="1:8" x14ac:dyDescent="0.25">
      <c r="A4" s="17" t="s">
        <v>132</v>
      </c>
      <c r="B4" s="23">
        <v>429000</v>
      </c>
      <c r="C4" s="17"/>
      <c r="D4" s="26" t="s">
        <v>152</v>
      </c>
      <c r="F4" s="17" t="s">
        <v>10</v>
      </c>
      <c r="G4" s="17">
        <v>12</v>
      </c>
      <c r="H4" s="17"/>
    </row>
    <row r="5" spans="1:8" x14ac:dyDescent="0.25">
      <c r="A5" s="17" t="s">
        <v>133</v>
      </c>
      <c r="B5" s="23">
        <v>80000</v>
      </c>
      <c r="C5" s="17"/>
      <c r="D5" s="26" t="s">
        <v>153</v>
      </c>
      <c r="F5" s="17" t="s">
        <v>11</v>
      </c>
      <c r="G5" s="24">
        <v>2E-3</v>
      </c>
      <c r="H5" s="27" t="s">
        <v>12</v>
      </c>
    </row>
    <row r="6" spans="1:8" ht="105" x14ac:dyDescent="0.25">
      <c r="A6" s="21" t="s">
        <v>134</v>
      </c>
      <c r="B6" s="61">
        <v>1647</v>
      </c>
      <c r="C6" s="17">
        <v>2</v>
      </c>
      <c r="D6" s="27" t="s">
        <v>212</v>
      </c>
      <c r="E6" s="31"/>
      <c r="F6" s="17" t="s">
        <v>13</v>
      </c>
      <c r="G6" s="22">
        <v>0.02</v>
      </c>
      <c r="H6" s="21" t="s">
        <v>207</v>
      </c>
    </row>
    <row r="7" spans="1:8" x14ac:dyDescent="0.25">
      <c r="A7" s="104" t="s">
        <v>14</v>
      </c>
      <c r="B7" s="105"/>
      <c r="C7" s="105"/>
      <c r="D7" s="106"/>
    </row>
    <row r="8" spans="1:8" ht="75.599999999999994" customHeight="1" x14ac:dyDescent="0.25">
      <c r="A8" s="21" t="s">
        <v>135</v>
      </c>
      <c r="B8" s="61">
        <v>1287</v>
      </c>
      <c r="C8" s="17">
        <v>1</v>
      </c>
      <c r="D8" s="27" t="s">
        <v>214</v>
      </c>
      <c r="E8" s="31"/>
    </row>
    <row r="9" spans="1:8" ht="75" x14ac:dyDescent="0.25">
      <c r="A9" s="21" t="s">
        <v>15</v>
      </c>
      <c r="B9" s="23">
        <v>10000</v>
      </c>
      <c r="C9" s="33">
        <v>3</v>
      </c>
      <c r="D9" s="30" t="s">
        <v>213</v>
      </c>
      <c r="E9" s="31"/>
    </row>
    <row r="10" spans="1:8" x14ac:dyDescent="0.25">
      <c r="A10" s="107" t="s">
        <v>16</v>
      </c>
      <c r="B10" s="108"/>
      <c r="C10" s="108"/>
      <c r="D10" s="109"/>
    </row>
    <row r="11" spans="1:8" ht="45" x14ac:dyDescent="0.25">
      <c r="A11" s="21" t="s">
        <v>136</v>
      </c>
      <c r="B11" s="23">
        <v>6.86</v>
      </c>
      <c r="C11" s="21"/>
      <c r="D11" s="30" t="s">
        <v>17</v>
      </c>
      <c r="E11" s="31"/>
    </row>
    <row r="12" spans="1:8" ht="45" x14ac:dyDescent="0.25">
      <c r="A12" s="21" t="s">
        <v>215</v>
      </c>
      <c r="B12" s="23">
        <v>7</v>
      </c>
      <c r="C12" s="21">
        <v>400</v>
      </c>
      <c r="D12" s="30" t="s">
        <v>194</v>
      </c>
      <c r="E12" s="31"/>
    </row>
    <row r="13" spans="1:8" ht="45" x14ac:dyDescent="0.25">
      <c r="A13" s="21" t="s">
        <v>216</v>
      </c>
      <c r="B13" s="23">
        <v>15</v>
      </c>
      <c r="C13" s="21">
        <v>400</v>
      </c>
      <c r="D13" s="30" t="s">
        <v>193</v>
      </c>
      <c r="E13" s="31"/>
    </row>
    <row r="14" spans="1:8" ht="45" x14ac:dyDescent="0.25">
      <c r="A14" s="21" t="s">
        <v>217</v>
      </c>
      <c r="B14" s="23">
        <v>400</v>
      </c>
      <c r="C14" s="17">
        <v>10</v>
      </c>
      <c r="D14" s="30" t="s">
        <v>219</v>
      </c>
      <c r="E14" s="31"/>
    </row>
    <row r="15" spans="1:8" ht="45" x14ac:dyDescent="0.25">
      <c r="A15" s="21" t="s">
        <v>218</v>
      </c>
      <c r="B15" s="23">
        <v>400</v>
      </c>
      <c r="C15" s="17">
        <v>1</v>
      </c>
      <c r="D15" s="30" t="s">
        <v>195</v>
      </c>
    </row>
    <row r="16" spans="1:8" ht="60" x14ac:dyDescent="0.25">
      <c r="A16" s="21" t="s">
        <v>202</v>
      </c>
      <c r="B16" s="23">
        <v>577</v>
      </c>
      <c r="C16" s="17">
        <v>0.33</v>
      </c>
      <c r="D16" s="30" t="s">
        <v>220</v>
      </c>
    </row>
    <row r="17" spans="1:6" ht="45" x14ac:dyDescent="0.25">
      <c r="A17" s="21" t="s">
        <v>221</v>
      </c>
      <c r="B17" s="18">
        <v>0.03</v>
      </c>
      <c r="C17" s="17"/>
      <c r="D17" s="30" t="s">
        <v>154</v>
      </c>
    </row>
    <row r="18" spans="1:6" ht="30" x14ac:dyDescent="0.25">
      <c r="A18" s="21" t="s">
        <v>18</v>
      </c>
      <c r="B18" s="23">
        <v>60000</v>
      </c>
      <c r="C18" s="21"/>
      <c r="D18" s="63" t="s">
        <v>155</v>
      </c>
      <c r="E18" s="31"/>
    </row>
    <row r="19" spans="1:6" ht="30" x14ac:dyDescent="0.25">
      <c r="A19" s="21" t="s">
        <v>137</v>
      </c>
      <c r="B19" s="23">
        <v>2500</v>
      </c>
      <c r="C19" s="17"/>
      <c r="D19" s="30" t="s">
        <v>156</v>
      </c>
      <c r="E19" s="31"/>
    </row>
    <row r="20" spans="1:6" x14ac:dyDescent="0.25">
      <c r="A20" s="107" t="s">
        <v>138</v>
      </c>
      <c r="B20" s="108"/>
      <c r="C20" s="108"/>
      <c r="D20" s="109"/>
      <c r="E20" s="31"/>
    </row>
    <row r="21" spans="1:6" ht="45" x14ac:dyDescent="0.25">
      <c r="A21" s="21" t="s">
        <v>139</v>
      </c>
      <c r="B21" s="32">
        <v>22500</v>
      </c>
      <c r="C21" s="21"/>
      <c r="D21" s="21" t="s">
        <v>196</v>
      </c>
      <c r="E21" s="31"/>
    </row>
    <row r="22" spans="1:6" x14ac:dyDescent="0.25">
      <c r="A22" s="107" t="s">
        <v>211</v>
      </c>
      <c r="B22" s="108"/>
      <c r="C22" s="108"/>
      <c r="D22" s="109"/>
      <c r="E22" s="31"/>
    </row>
    <row r="23" spans="1:6" ht="30" x14ac:dyDescent="0.25">
      <c r="A23" s="21" t="s">
        <v>19</v>
      </c>
      <c r="B23" s="32">
        <v>60000</v>
      </c>
      <c r="C23" s="21">
        <v>3</v>
      </c>
      <c r="D23" s="21" t="s">
        <v>222</v>
      </c>
      <c r="E23" s="31"/>
    </row>
    <row r="24" spans="1:6" ht="135" x14ac:dyDescent="0.25">
      <c r="A24" s="21" t="s">
        <v>140</v>
      </c>
      <c r="B24" s="32">
        <v>10</v>
      </c>
      <c r="C24" s="17">
        <v>3</v>
      </c>
      <c r="D24" s="30" t="s">
        <v>197</v>
      </c>
      <c r="E24" s="31"/>
    </row>
    <row r="25" spans="1:6" ht="90" x14ac:dyDescent="0.25">
      <c r="A25" s="21" t="s">
        <v>141</v>
      </c>
      <c r="B25" s="32">
        <v>2400</v>
      </c>
      <c r="C25" s="17"/>
      <c r="D25" s="30" t="s">
        <v>223</v>
      </c>
      <c r="E25" s="31"/>
      <c r="F25" s="10"/>
    </row>
    <row r="26" spans="1:6" ht="45" x14ac:dyDescent="0.25">
      <c r="A26" s="21" t="s">
        <v>145</v>
      </c>
      <c r="B26" s="32">
        <v>15000</v>
      </c>
      <c r="C26" s="17">
        <v>3</v>
      </c>
      <c r="D26" s="30" t="s">
        <v>198</v>
      </c>
      <c r="E26" s="31"/>
    </row>
    <row r="27" spans="1:6" x14ac:dyDescent="0.25">
      <c r="A27" s="107" t="s">
        <v>20</v>
      </c>
      <c r="B27" s="108"/>
      <c r="C27" s="108"/>
      <c r="D27" s="109"/>
      <c r="E27" s="31"/>
    </row>
    <row r="28" spans="1:6" x14ac:dyDescent="0.25">
      <c r="A28" s="21" t="s">
        <v>21</v>
      </c>
      <c r="B28" s="32">
        <v>60000</v>
      </c>
      <c r="C28" s="17"/>
      <c r="D28" s="63" t="s">
        <v>158</v>
      </c>
      <c r="E28" s="31"/>
    </row>
    <row r="29" spans="1:6" ht="135" x14ac:dyDescent="0.25">
      <c r="A29" s="21" t="s">
        <v>142</v>
      </c>
      <c r="B29" s="32">
        <v>10</v>
      </c>
      <c r="C29" s="17"/>
      <c r="D29" s="30" t="s">
        <v>197</v>
      </c>
      <c r="E29" s="31"/>
      <c r="F29" s="10"/>
    </row>
    <row r="30" spans="1:6" ht="105" x14ac:dyDescent="0.25">
      <c r="A30" s="21" t="s">
        <v>143</v>
      </c>
      <c r="B30" s="32">
        <v>2800</v>
      </c>
      <c r="C30" s="17"/>
      <c r="D30" s="30" t="s">
        <v>199</v>
      </c>
      <c r="E30" s="31"/>
      <c r="F30" s="10"/>
    </row>
    <row r="31" spans="1:6" ht="45" x14ac:dyDescent="0.25">
      <c r="A31" s="21" t="s">
        <v>145</v>
      </c>
      <c r="B31" s="32">
        <v>15000</v>
      </c>
      <c r="C31" s="17"/>
      <c r="D31" s="30" t="s">
        <v>157</v>
      </c>
      <c r="E31" s="31"/>
    </row>
    <row r="32" spans="1:6" x14ac:dyDescent="0.25">
      <c r="A32" s="107" t="s">
        <v>144</v>
      </c>
      <c r="B32" s="108"/>
      <c r="C32" s="108"/>
      <c r="D32" s="109"/>
      <c r="E32" s="31"/>
    </row>
    <row r="33" spans="1:5" ht="45" x14ac:dyDescent="0.25">
      <c r="A33" s="21" t="s">
        <v>232</v>
      </c>
      <c r="B33" s="32">
        <f>'1.2. Ievade_Aptauju izmaksas'!F25+'1.2. Ievade_Aptauju izmaksas'!G15+'1.2. Ievade_Aptauju izmaksas'!G21+'1.2. Ievade_Aptauju izmaksas'!G18</f>
        <v>49278.25</v>
      </c>
      <c r="C33" s="17"/>
      <c r="D33" s="96" t="s">
        <v>233</v>
      </c>
      <c r="E33" s="31"/>
    </row>
    <row r="34" spans="1:5" ht="60" x14ac:dyDescent="0.25">
      <c r="A34" s="21" t="s">
        <v>22</v>
      </c>
      <c r="B34" s="32">
        <v>40000</v>
      </c>
      <c r="C34" s="17"/>
      <c r="D34" s="27" t="s">
        <v>200</v>
      </c>
      <c r="E34" s="31"/>
    </row>
    <row r="35" spans="1:5" ht="15" customHeight="1" x14ac:dyDescent="0.25">
      <c r="A35" s="107" t="s">
        <v>146</v>
      </c>
      <c r="B35" s="108"/>
      <c r="C35" s="108"/>
      <c r="D35" s="109"/>
      <c r="E35" s="31"/>
    </row>
    <row r="36" spans="1:5" ht="45" customHeight="1" x14ac:dyDescent="0.25">
      <c r="A36" s="63" t="s">
        <v>147</v>
      </c>
      <c r="B36" s="32">
        <v>625000</v>
      </c>
      <c r="C36" s="62"/>
      <c r="D36" s="63" t="s">
        <v>208</v>
      </c>
      <c r="E36" s="31"/>
    </row>
    <row r="37" spans="1:5" x14ac:dyDescent="0.25">
      <c r="A37" s="110" t="s">
        <v>148</v>
      </c>
      <c r="B37" s="111"/>
      <c r="C37" s="111"/>
      <c r="D37" s="112"/>
      <c r="E37" s="31"/>
    </row>
    <row r="38" spans="1:5" ht="92.45" customHeight="1" x14ac:dyDescent="0.25">
      <c r="A38" s="21" t="s">
        <v>149</v>
      </c>
      <c r="B38" s="32">
        <v>7.6</v>
      </c>
      <c r="C38" s="64">
        <v>300</v>
      </c>
      <c r="D38" s="63" t="s">
        <v>159</v>
      </c>
      <c r="E38" s="31"/>
    </row>
    <row r="39" spans="1:5" x14ac:dyDescent="0.25">
      <c r="A39" s="21" t="s">
        <v>18</v>
      </c>
      <c r="B39" s="32">
        <v>15000</v>
      </c>
      <c r="C39" s="97"/>
      <c r="D39" s="98" t="s">
        <v>26</v>
      </c>
      <c r="E39" s="31"/>
    </row>
    <row r="40" spans="1:5" x14ac:dyDescent="0.25">
      <c r="A40" s="104" t="s">
        <v>150</v>
      </c>
      <c r="B40" s="105"/>
      <c r="C40" s="105"/>
      <c r="D40" s="106"/>
    </row>
    <row r="41" spans="1:5" ht="45" x14ac:dyDescent="0.25">
      <c r="A41" s="21" t="s">
        <v>23</v>
      </c>
      <c r="B41" s="23">
        <v>8.4</v>
      </c>
      <c r="C41" s="17">
        <v>199</v>
      </c>
      <c r="D41" s="27" t="s">
        <v>209</v>
      </c>
      <c r="E41" s="31"/>
    </row>
    <row r="42" spans="1:5" x14ac:dyDescent="0.25">
      <c r="A42" s="104" t="s">
        <v>24</v>
      </c>
      <c r="B42" s="105"/>
      <c r="C42" s="105"/>
      <c r="D42" s="106"/>
    </row>
    <row r="43" spans="1:5" ht="45" x14ac:dyDescent="0.25">
      <c r="A43" s="65" t="s">
        <v>25</v>
      </c>
      <c r="B43" s="23">
        <v>35</v>
      </c>
      <c r="C43" s="17">
        <v>10</v>
      </c>
      <c r="D43" s="27" t="s">
        <v>224</v>
      </c>
    </row>
    <row r="44" spans="1:5" ht="30" x14ac:dyDescent="0.25">
      <c r="A44" s="65" t="s">
        <v>240</v>
      </c>
      <c r="B44" s="61">
        <v>1287</v>
      </c>
      <c r="C44" s="17">
        <v>1</v>
      </c>
      <c r="D44" s="27" t="s">
        <v>239</v>
      </c>
    </row>
    <row r="45" spans="1:5" x14ac:dyDescent="0.25">
      <c r="A45" s="104" t="s">
        <v>151</v>
      </c>
      <c r="B45" s="105"/>
      <c r="C45" s="105"/>
      <c r="D45" s="106"/>
    </row>
    <row r="46" spans="1:5" ht="45" x14ac:dyDescent="0.25">
      <c r="A46" s="21" t="s">
        <v>234</v>
      </c>
      <c r="B46" s="23">
        <v>1000</v>
      </c>
      <c r="C46" s="17">
        <v>5</v>
      </c>
      <c r="D46" s="21" t="s">
        <v>160</v>
      </c>
      <c r="E46" s="31"/>
    </row>
    <row r="47" spans="1:5" ht="30" customHeight="1" x14ac:dyDescent="0.25">
      <c r="A47" s="21" t="s">
        <v>235</v>
      </c>
      <c r="B47" s="23">
        <v>6000</v>
      </c>
      <c r="C47" s="17"/>
      <c r="D47" s="17" t="s">
        <v>26</v>
      </c>
      <c r="E47" s="31"/>
    </row>
    <row r="48" spans="1:5" ht="30" x14ac:dyDescent="0.25">
      <c r="A48" s="33" t="s">
        <v>236</v>
      </c>
      <c r="B48" s="23">
        <v>15000</v>
      </c>
      <c r="C48" s="17"/>
      <c r="D48" s="17" t="s">
        <v>27</v>
      </c>
      <c r="E48" s="31"/>
    </row>
    <row r="49" spans="1:5" ht="30" x14ac:dyDescent="0.25">
      <c r="A49" s="33" t="s">
        <v>237</v>
      </c>
      <c r="B49" s="23">
        <v>10000</v>
      </c>
      <c r="C49" s="17"/>
      <c r="D49" s="17" t="s">
        <v>28</v>
      </c>
      <c r="E49" s="31"/>
    </row>
    <row r="50" spans="1:5" ht="30" x14ac:dyDescent="0.25">
      <c r="A50" s="33" t="s">
        <v>238</v>
      </c>
      <c r="B50" s="23">
        <v>10000</v>
      </c>
      <c r="C50" s="17"/>
      <c r="D50" s="17" t="s">
        <v>26</v>
      </c>
      <c r="E50" s="31"/>
    </row>
  </sheetData>
  <mergeCells count="12">
    <mergeCell ref="A3:D3"/>
    <mergeCell ref="A7:D7"/>
    <mergeCell ref="A40:D40"/>
    <mergeCell ref="A42:D42"/>
    <mergeCell ref="A45:D45"/>
    <mergeCell ref="A10:D10"/>
    <mergeCell ref="A20:D20"/>
    <mergeCell ref="A22:D22"/>
    <mergeCell ref="A27:D27"/>
    <mergeCell ref="A32:D32"/>
    <mergeCell ref="A35:D35"/>
    <mergeCell ref="A37:D37"/>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9020F-B7D6-474D-ABD5-F8F1DE91FBC4}">
  <dimension ref="A1:J25"/>
  <sheetViews>
    <sheetView topLeftCell="A7" workbookViewId="0">
      <selection activeCell="G18" sqref="G18"/>
    </sheetView>
  </sheetViews>
  <sheetFormatPr defaultColWidth="9.140625" defaultRowHeight="15" x14ac:dyDescent="0.25"/>
  <cols>
    <col min="1" max="1" width="38.7109375" style="1" bestFit="1" customWidth="1"/>
    <col min="2" max="3" width="20.7109375" style="1" customWidth="1"/>
    <col min="4" max="4" width="16.42578125" style="1" bestFit="1" customWidth="1"/>
    <col min="5" max="5" width="11.85546875" style="1" bestFit="1" customWidth="1"/>
    <col min="6" max="7" width="15.7109375" style="1" customWidth="1"/>
    <col min="8" max="8" width="9.140625" style="1"/>
    <col min="9" max="9" width="40.42578125" style="1" bestFit="1" customWidth="1"/>
    <col min="10" max="16384" width="9.140625" style="1"/>
  </cols>
  <sheetData>
    <row r="1" spans="1:10" x14ac:dyDescent="0.25">
      <c r="A1" s="2" t="s">
        <v>29</v>
      </c>
      <c r="I1" s="2" t="s">
        <v>166</v>
      </c>
    </row>
    <row r="2" spans="1:10" ht="45" x14ac:dyDescent="0.25">
      <c r="A2" s="20" t="s">
        <v>30</v>
      </c>
      <c r="B2" s="20" t="s">
        <v>31</v>
      </c>
      <c r="C2" s="20" t="s">
        <v>165</v>
      </c>
      <c r="D2" s="20" t="s">
        <v>205</v>
      </c>
      <c r="E2" s="20" t="s">
        <v>226</v>
      </c>
      <c r="F2" s="20" t="s">
        <v>32</v>
      </c>
      <c r="G2" s="20" t="s">
        <v>225</v>
      </c>
      <c r="I2" s="20" t="s">
        <v>33</v>
      </c>
      <c r="J2" s="20" t="s">
        <v>34</v>
      </c>
    </row>
    <row r="3" spans="1:10" x14ac:dyDescent="0.25">
      <c r="A3" s="113" t="s">
        <v>35</v>
      </c>
      <c r="B3" s="114"/>
      <c r="C3" s="114"/>
      <c r="D3" s="114"/>
      <c r="E3" s="114"/>
      <c r="F3" s="114"/>
      <c r="G3" s="115"/>
      <c r="I3" s="41" t="s">
        <v>162</v>
      </c>
      <c r="J3" s="41">
        <v>1</v>
      </c>
    </row>
    <row r="4" spans="1:10" x14ac:dyDescent="0.25">
      <c r="A4" s="41" t="s">
        <v>36</v>
      </c>
      <c r="B4" s="41">
        <v>40</v>
      </c>
      <c r="C4" s="47" t="s">
        <v>37</v>
      </c>
      <c r="D4" s="48">
        <v>11397</v>
      </c>
      <c r="E4" s="48">
        <v>500</v>
      </c>
      <c r="F4" s="48">
        <f>E4*$J$4</f>
        <v>500</v>
      </c>
      <c r="G4" s="48">
        <f>D4*$J$4</f>
        <v>11397</v>
      </c>
      <c r="I4" s="41" t="s">
        <v>38</v>
      </c>
      <c r="J4" s="41">
        <v>1</v>
      </c>
    </row>
    <row r="5" spans="1:10" x14ac:dyDescent="0.25">
      <c r="A5" s="41" t="s">
        <v>39</v>
      </c>
      <c r="B5" s="41">
        <v>20</v>
      </c>
      <c r="C5" s="47" t="s">
        <v>40</v>
      </c>
      <c r="D5" s="48">
        <v>99177</v>
      </c>
      <c r="E5" s="48">
        <v>800</v>
      </c>
      <c r="F5" s="48">
        <f>E5*$J$5</f>
        <v>1600</v>
      </c>
      <c r="G5" s="49">
        <f>D5*J5</f>
        <v>198354</v>
      </c>
      <c r="I5" s="41" t="s">
        <v>41</v>
      </c>
      <c r="J5" s="41">
        <v>2</v>
      </c>
    </row>
    <row r="6" spans="1:10" x14ac:dyDescent="0.25">
      <c r="A6" s="41" t="s">
        <v>161</v>
      </c>
      <c r="B6" s="41">
        <v>10</v>
      </c>
      <c r="C6" s="47" t="s">
        <v>42</v>
      </c>
      <c r="D6" s="48">
        <v>634</v>
      </c>
      <c r="E6" s="48">
        <v>350</v>
      </c>
      <c r="F6" s="48">
        <f>E6*$J$6</f>
        <v>875</v>
      </c>
      <c r="G6" s="49">
        <f>D6*J6</f>
        <v>1585</v>
      </c>
      <c r="I6" s="41" t="s">
        <v>161</v>
      </c>
      <c r="J6" s="41">
        <v>2.5</v>
      </c>
    </row>
    <row r="7" spans="1:10" x14ac:dyDescent="0.25">
      <c r="A7" s="55" t="s">
        <v>43</v>
      </c>
      <c r="B7" s="56"/>
      <c r="C7" s="56"/>
      <c r="D7" s="56"/>
      <c r="E7" s="56"/>
      <c r="F7" s="56"/>
      <c r="G7" s="57"/>
      <c r="I7" s="41" t="s">
        <v>163</v>
      </c>
      <c r="J7" s="41">
        <v>10</v>
      </c>
    </row>
    <row r="8" spans="1:10" x14ac:dyDescent="0.25">
      <c r="A8" s="41" t="s">
        <v>162</v>
      </c>
      <c r="B8" s="41">
        <v>40</v>
      </c>
      <c r="C8" s="47" t="s">
        <v>44</v>
      </c>
      <c r="D8" s="48">
        <v>214624</v>
      </c>
      <c r="E8" s="48">
        <v>6400</v>
      </c>
      <c r="F8" s="48">
        <f>E8*$J$3</f>
        <v>6400</v>
      </c>
      <c r="G8" s="49">
        <f>D8*J3</f>
        <v>214624</v>
      </c>
    </row>
    <row r="9" spans="1:10" x14ac:dyDescent="0.25">
      <c r="A9" s="41" t="s">
        <v>45</v>
      </c>
      <c r="B9" s="41">
        <v>40</v>
      </c>
      <c r="C9" s="47" t="s">
        <v>46</v>
      </c>
      <c r="D9" s="48">
        <v>22053</v>
      </c>
      <c r="E9" s="48">
        <v>2400</v>
      </c>
      <c r="F9" s="48">
        <f>E9*$J$4</f>
        <v>2400</v>
      </c>
      <c r="G9" s="49">
        <f>D9*J4</f>
        <v>22053</v>
      </c>
      <c r="I9"/>
      <c r="J9"/>
    </row>
    <row r="10" spans="1:10" x14ac:dyDescent="0.25">
      <c r="A10" s="41" t="s">
        <v>47</v>
      </c>
      <c r="B10" s="41">
        <v>10</v>
      </c>
      <c r="C10" s="47" t="s">
        <v>48</v>
      </c>
      <c r="D10" s="48">
        <v>214624</v>
      </c>
      <c r="E10" s="48">
        <v>2400</v>
      </c>
      <c r="F10" s="48">
        <f>E10*$J$5</f>
        <v>4800</v>
      </c>
      <c r="G10" s="49">
        <f>D10*J5</f>
        <v>429248</v>
      </c>
      <c r="I10" s="17" t="s">
        <v>167</v>
      </c>
      <c r="J10" s="17">
        <v>47</v>
      </c>
    </row>
    <row r="11" spans="1:10" ht="30" x14ac:dyDescent="0.25">
      <c r="A11" s="41" t="s">
        <v>161</v>
      </c>
      <c r="B11" s="41">
        <v>10</v>
      </c>
      <c r="C11" s="47" t="s">
        <v>49</v>
      </c>
      <c r="D11" s="48">
        <v>740</v>
      </c>
      <c r="E11" s="48">
        <v>350</v>
      </c>
      <c r="F11" s="48">
        <f>E11*$J$6</f>
        <v>875</v>
      </c>
      <c r="G11" s="49">
        <f>D11*J6</f>
        <v>1850</v>
      </c>
      <c r="I11" s="21" t="s">
        <v>168</v>
      </c>
      <c r="J11" s="17">
        <v>3</v>
      </c>
    </row>
    <row r="12" spans="1:10" x14ac:dyDescent="0.25">
      <c r="A12" s="113" t="s">
        <v>50</v>
      </c>
      <c r="B12" s="114"/>
      <c r="C12" s="114"/>
      <c r="D12" s="114"/>
      <c r="E12" s="114"/>
      <c r="F12" s="114"/>
      <c r="G12" s="115"/>
    </row>
    <row r="13" spans="1:10" x14ac:dyDescent="0.25">
      <c r="A13" s="41" t="s">
        <v>162</v>
      </c>
      <c r="B13" s="41">
        <v>40</v>
      </c>
      <c r="C13" s="47" t="s">
        <v>51</v>
      </c>
      <c r="D13" s="48">
        <v>27161</v>
      </c>
      <c r="E13" s="48">
        <v>3200</v>
      </c>
      <c r="F13" s="48">
        <f>E13*$J$3</f>
        <v>3200</v>
      </c>
      <c r="G13" s="49">
        <f>D13*J3</f>
        <v>27161</v>
      </c>
    </row>
    <row r="14" spans="1:10" x14ac:dyDescent="0.25">
      <c r="A14" s="41" t="s">
        <v>52</v>
      </c>
      <c r="B14" s="41">
        <v>40</v>
      </c>
      <c r="C14" s="47" t="s">
        <v>53</v>
      </c>
      <c r="D14" s="48">
        <v>2669</v>
      </c>
      <c r="E14" s="48">
        <v>350</v>
      </c>
      <c r="F14" s="48">
        <f>E14*$J$4</f>
        <v>350</v>
      </c>
      <c r="G14" s="49">
        <f>D14*J4</f>
        <v>2669</v>
      </c>
    </row>
    <row r="15" spans="1:10" x14ac:dyDescent="0.25">
      <c r="A15" s="41" t="s">
        <v>161</v>
      </c>
      <c r="B15" s="41">
        <v>10</v>
      </c>
      <c r="C15" s="47" t="s">
        <v>54</v>
      </c>
      <c r="D15" s="48">
        <f>J10*J11</f>
        <v>141</v>
      </c>
      <c r="E15" s="50" t="s">
        <v>227</v>
      </c>
      <c r="F15" s="48" t="s">
        <v>227</v>
      </c>
      <c r="G15" s="49">
        <f>D15*J6</f>
        <v>352.5</v>
      </c>
    </row>
    <row r="16" spans="1:10" x14ac:dyDescent="0.25">
      <c r="A16" s="41" t="s">
        <v>163</v>
      </c>
      <c r="B16" s="46">
        <v>20</v>
      </c>
      <c r="C16" s="47" t="s">
        <v>55</v>
      </c>
      <c r="D16" s="48" t="s">
        <v>227</v>
      </c>
      <c r="E16" s="48">
        <v>500</v>
      </c>
      <c r="F16" s="48">
        <f>E16*J7</f>
        <v>5000</v>
      </c>
      <c r="G16" s="49" t="s">
        <v>227</v>
      </c>
    </row>
    <row r="17" spans="1:7" x14ac:dyDescent="0.25">
      <c r="A17" s="41" t="s">
        <v>56</v>
      </c>
      <c r="B17" s="47" t="s">
        <v>57</v>
      </c>
      <c r="C17" s="47" t="s">
        <v>58</v>
      </c>
      <c r="D17" s="48">
        <v>27161</v>
      </c>
      <c r="E17" s="48">
        <v>800</v>
      </c>
      <c r="F17" s="48">
        <f>E17*$J$5</f>
        <v>1600</v>
      </c>
      <c r="G17" s="49">
        <f>D17*J5</f>
        <v>54322</v>
      </c>
    </row>
    <row r="18" spans="1:7" x14ac:dyDescent="0.25">
      <c r="A18" s="41" t="s">
        <v>164</v>
      </c>
      <c r="B18" s="47" t="s">
        <v>61</v>
      </c>
      <c r="C18" s="47" t="s">
        <v>37</v>
      </c>
      <c r="D18" s="48" t="s">
        <v>227</v>
      </c>
      <c r="E18" s="48" t="s">
        <v>227</v>
      </c>
      <c r="F18" s="48" t="s">
        <v>227</v>
      </c>
      <c r="G18" s="49">
        <f>D17*J6*0.1</f>
        <v>6790.25</v>
      </c>
    </row>
    <row r="19" spans="1:7" x14ac:dyDescent="0.25">
      <c r="A19" s="113" t="s">
        <v>59</v>
      </c>
      <c r="B19" s="114"/>
      <c r="C19" s="114"/>
      <c r="D19" s="114"/>
      <c r="E19" s="114"/>
      <c r="F19" s="114"/>
      <c r="G19" s="115"/>
    </row>
    <row r="20" spans="1:7" x14ac:dyDescent="0.25">
      <c r="A20" s="41" t="s">
        <v>162</v>
      </c>
      <c r="B20" s="58">
        <v>40</v>
      </c>
      <c r="C20" s="47" t="s">
        <v>60</v>
      </c>
      <c r="D20" s="48">
        <v>80355</v>
      </c>
      <c r="E20" s="48">
        <v>800</v>
      </c>
      <c r="F20" s="48">
        <f>E20*J3</f>
        <v>800</v>
      </c>
      <c r="G20" s="49">
        <f>D20*J3</f>
        <v>80355</v>
      </c>
    </row>
    <row r="21" spans="1:7" x14ac:dyDescent="0.25">
      <c r="A21" s="41" t="s">
        <v>164</v>
      </c>
      <c r="B21" s="47" t="s">
        <v>61</v>
      </c>
      <c r="C21" s="47" t="s">
        <v>62</v>
      </c>
      <c r="D21" s="48" t="s">
        <v>227</v>
      </c>
      <c r="E21" s="48" t="s">
        <v>227</v>
      </c>
      <c r="F21" s="48" t="s">
        <v>227</v>
      </c>
      <c r="G21" s="49">
        <f>D20*0.1*J3</f>
        <v>8035.5</v>
      </c>
    </row>
    <row r="22" spans="1:7" x14ac:dyDescent="0.25">
      <c r="A22" s="41" t="s">
        <v>63</v>
      </c>
      <c r="B22" s="41">
        <v>40</v>
      </c>
      <c r="C22" s="47" t="s">
        <v>64</v>
      </c>
      <c r="D22" s="48">
        <v>5109</v>
      </c>
      <c r="E22" s="48">
        <v>350</v>
      </c>
      <c r="F22" s="48">
        <f>E22*J4</f>
        <v>350</v>
      </c>
      <c r="G22" s="49">
        <f>D22*J4</f>
        <v>5109</v>
      </c>
    </row>
    <row r="23" spans="1:7" x14ac:dyDescent="0.25">
      <c r="A23" s="41" t="s">
        <v>65</v>
      </c>
      <c r="B23" s="41">
        <v>40</v>
      </c>
      <c r="C23" s="47" t="s">
        <v>66</v>
      </c>
      <c r="D23" s="48">
        <v>2895</v>
      </c>
      <c r="E23" s="48">
        <v>350</v>
      </c>
      <c r="F23" s="48">
        <f>E23*J4</f>
        <v>350</v>
      </c>
      <c r="G23" s="49">
        <f>D23*J4</f>
        <v>2895</v>
      </c>
    </row>
    <row r="24" spans="1:7" x14ac:dyDescent="0.25">
      <c r="A24" s="41" t="s">
        <v>163</v>
      </c>
      <c r="B24" s="41">
        <v>20</v>
      </c>
      <c r="C24" s="47" t="s">
        <v>67</v>
      </c>
      <c r="D24" s="48" t="s">
        <v>227</v>
      </c>
      <c r="E24" s="48">
        <v>500</v>
      </c>
      <c r="F24" s="48">
        <f>E24*J7</f>
        <v>5000</v>
      </c>
      <c r="G24" s="49" t="s">
        <v>227</v>
      </c>
    </row>
    <row r="25" spans="1:7" x14ac:dyDescent="0.25">
      <c r="D25" s="3"/>
      <c r="E25" s="53" t="s">
        <v>68</v>
      </c>
      <c r="F25" s="53">
        <f>SUM(F4:F6,F8:F11,F13:F18,F20:F24)</f>
        <v>34100</v>
      </c>
      <c r="G25" s="53">
        <f>SUM(G4:G6,G8:G11,G13:G17,G20:G24)</f>
        <v>1060010</v>
      </c>
    </row>
  </sheetData>
  <mergeCells count="3">
    <mergeCell ref="A3:G3"/>
    <mergeCell ref="A12:G12"/>
    <mergeCell ref="A19:G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5856A-153C-4930-96C9-68607A74FB46}">
  <dimension ref="A1:D11"/>
  <sheetViews>
    <sheetView workbookViewId="0">
      <selection activeCell="E11" sqref="E11"/>
    </sheetView>
  </sheetViews>
  <sheetFormatPr defaultColWidth="9.140625" defaultRowHeight="15" x14ac:dyDescent="0.25"/>
  <cols>
    <col min="1" max="1" width="25.7109375" style="1" customWidth="1"/>
    <col min="2" max="2" width="21.28515625" style="1" customWidth="1"/>
    <col min="3" max="3" width="19.28515625" style="1" customWidth="1"/>
    <col min="4" max="4" width="52.7109375" style="1" customWidth="1"/>
    <col min="5" max="16384" width="9.140625" style="1"/>
  </cols>
  <sheetData>
    <row r="1" spans="1:4" s="45" customFormat="1" ht="18" customHeight="1" x14ac:dyDescent="0.25">
      <c r="A1" s="43" t="s">
        <v>169</v>
      </c>
      <c r="B1" s="44"/>
      <c r="C1" s="44"/>
      <c r="D1" s="44"/>
    </row>
    <row r="2" spans="1:4" x14ac:dyDescent="0.25">
      <c r="A2" s="2" t="s">
        <v>69</v>
      </c>
    </row>
    <row r="3" spans="1:4" ht="30" x14ac:dyDescent="0.25">
      <c r="A3" s="19" t="s">
        <v>70</v>
      </c>
      <c r="B3" s="19" t="s">
        <v>204</v>
      </c>
      <c r="C3" s="20" t="s">
        <v>206</v>
      </c>
      <c r="D3" s="19" t="s">
        <v>71</v>
      </c>
    </row>
    <row r="4" spans="1:4" x14ac:dyDescent="0.25">
      <c r="A4" s="104" t="s">
        <v>72</v>
      </c>
      <c r="B4" s="105"/>
      <c r="C4" s="105"/>
      <c r="D4" s="106"/>
    </row>
    <row r="5" spans="1:4" ht="90" x14ac:dyDescent="0.25">
      <c r="A5" s="42" t="s">
        <v>170</v>
      </c>
      <c r="B5" s="51">
        <v>6.8</v>
      </c>
      <c r="C5" s="48">
        <v>5</v>
      </c>
      <c r="D5" s="42" t="s">
        <v>228</v>
      </c>
    </row>
    <row r="6" spans="1:4" ht="45" x14ac:dyDescent="0.25">
      <c r="A6" s="42" t="s">
        <v>73</v>
      </c>
      <c r="B6" s="48">
        <v>740</v>
      </c>
      <c r="C6" s="49"/>
      <c r="D6" s="42"/>
    </row>
    <row r="7" spans="1:4" x14ac:dyDescent="0.25">
      <c r="A7" s="104" t="s">
        <v>74</v>
      </c>
      <c r="B7" s="105"/>
      <c r="C7" s="105"/>
      <c r="D7" s="106"/>
    </row>
    <row r="8" spans="1:4" ht="75" x14ac:dyDescent="0.25">
      <c r="A8" s="42" t="s">
        <v>171</v>
      </c>
      <c r="B8" s="52">
        <f>'1.1. Ievade_Resursu aprēķins'!B8/168</f>
        <v>7.6607142857142856</v>
      </c>
      <c r="C8" s="52">
        <v>100</v>
      </c>
      <c r="D8" s="42" t="s">
        <v>229</v>
      </c>
    </row>
    <row r="9" spans="1:4" ht="75" x14ac:dyDescent="0.25">
      <c r="A9" s="21" t="s">
        <v>75</v>
      </c>
      <c r="B9" s="51">
        <v>7</v>
      </c>
      <c r="C9" s="51"/>
      <c r="D9" s="21" t="s">
        <v>201</v>
      </c>
    </row>
    <row r="10" spans="1:4" ht="15" customHeight="1" x14ac:dyDescent="0.25">
      <c r="A10" s="104" t="s">
        <v>172</v>
      </c>
      <c r="B10" s="105"/>
      <c r="C10" s="105"/>
      <c r="D10" s="106"/>
    </row>
    <row r="11" spans="1:4" ht="75" x14ac:dyDescent="0.25">
      <c r="A11" s="21" t="s">
        <v>230</v>
      </c>
      <c r="B11" s="51">
        <v>0.5</v>
      </c>
      <c r="C11" s="51">
        <v>29952</v>
      </c>
      <c r="D11" s="21" t="s">
        <v>231</v>
      </c>
    </row>
  </sheetData>
  <mergeCells count="3">
    <mergeCell ref="A4:D4"/>
    <mergeCell ref="A10:D10"/>
    <mergeCell ref="A7:D7"/>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9"/>
  <sheetViews>
    <sheetView zoomScale="90" zoomScaleNormal="90" workbookViewId="0">
      <selection activeCell="D15" sqref="D15"/>
    </sheetView>
  </sheetViews>
  <sheetFormatPr defaultColWidth="8.7109375" defaultRowHeight="15" x14ac:dyDescent="0.25"/>
  <cols>
    <col min="1" max="1" width="1.42578125" style="1" customWidth="1"/>
    <col min="2" max="2" width="47.5703125" style="1" bestFit="1" customWidth="1"/>
    <col min="3" max="3" width="14.140625" style="1" customWidth="1"/>
    <col min="4" max="12" width="14" style="1" bestFit="1" customWidth="1"/>
    <col min="13" max="16384" width="8.7109375" style="1"/>
  </cols>
  <sheetData>
    <row r="1" spans="1:12" ht="15.75" x14ac:dyDescent="0.25">
      <c r="A1" s="67"/>
      <c r="B1" s="67"/>
      <c r="C1" s="68" t="s">
        <v>76</v>
      </c>
      <c r="D1" s="68" t="s">
        <v>77</v>
      </c>
      <c r="E1" s="68" t="s">
        <v>78</v>
      </c>
      <c r="F1" s="68" t="s">
        <v>79</v>
      </c>
      <c r="G1" s="68" t="s">
        <v>80</v>
      </c>
      <c r="H1" s="68" t="s">
        <v>81</v>
      </c>
      <c r="I1" s="68" t="s">
        <v>82</v>
      </c>
      <c r="J1" s="68" t="s">
        <v>83</v>
      </c>
      <c r="K1" s="68" t="s">
        <v>84</v>
      </c>
      <c r="L1" s="68" t="s">
        <v>85</v>
      </c>
    </row>
    <row r="2" spans="1:12" ht="15.75" x14ac:dyDescent="0.25">
      <c r="A2" s="69" t="s">
        <v>86</v>
      </c>
      <c r="B2" s="70"/>
      <c r="C2" s="71"/>
      <c r="D2" s="71"/>
      <c r="E2" s="71"/>
      <c r="F2" s="71"/>
      <c r="G2" s="71"/>
      <c r="H2" s="71"/>
      <c r="I2" s="71"/>
      <c r="J2" s="71"/>
      <c r="K2" s="71"/>
      <c r="L2" s="71"/>
    </row>
    <row r="3" spans="1:12" ht="15.75" x14ac:dyDescent="0.25">
      <c r="A3" s="72"/>
      <c r="B3" s="73" t="s">
        <v>173</v>
      </c>
      <c r="C3" s="74">
        <f>'1.1. Ievade_Resursu aprēķins'!B4</f>
        <v>429000</v>
      </c>
      <c r="D3" s="74"/>
      <c r="E3" s="74"/>
      <c r="F3" s="74"/>
      <c r="G3" s="74"/>
      <c r="H3" s="74"/>
      <c r="I3" s="74"/>
      <c r="J3" s="74"/>
      <c r="K3" s="74"/>
      <c r="L3" s="74"/>
    </row>
    <row r="4" spans="1:12" ht="15.75" x14ac:dyDescent="0.25">
      <c r="A4" s="72"/>
      <c r="B4" s="73" t="s">
        <v>174</v>
      </c>
      <c r="C4" s="74">
        <f>'1.1. Ievade_Resursu aprēķins'!$B$5</f>
        <v>80000</v>
      </c>
      <c r="D4" s="74">
        <f>'1.1. Ievade_Resursu aprēķins'!$B$5</f>
        <v>80000</v>
      </c>
      <c r="E4" s="74">
        <f>'1.1. Ievade_Resursu aprēķins'!$B$5</f>
        <v>80000</v>
      </c>
      <c r="F4" s="74">
        <f>'1.1. Ievade_Resursu aprēķins'!$B$5</f>
        <v>80000</v>
      </c>
      <c r="G4" s="74">
        <f>'1.1. Ievade_Resursu aprēķins'!$B$5</f>
        <v>80000</v>
      </c>
      <c r="H4" s="74">
        <f>'1.1. Ievade_Resursu aprēķins'!$B$5</f>
        <v>80000</v>
      </c>
      <c r="I4" s="74">
        <f>'1.1. Ievade_Resursu aprēķins'!$B$5</f>
        <v>80000</v>
      </c>
      <c r="J4" s="74">
        <f>'1.1. Ievade_Resursu aprēķins'!$B$5</f>
        <v>80000</v>
      </c>
      <c r="K4" s="74">
        <f>'1.1. Ievade_Resursu aprēķins'!$B$5</f>
        <v>80000</v>
      </c>
      <c r="L4" s="74">
        <f>'1.1. Ievade_Resursu aprēķins'!$B$5</f>
        <v>80000</v>
      </c>
    </row>
    <row r="5" spans="1:12" ht="15.75" x14ac:dyDescent="0.25">
      <c r="A5" s="72"/>
      <c r="B5" s="73" t="s">
        <v>175</v>
      </c>
      <c r="C5" s="74">
        <f>('1.1. Ievade_Resursu aprēķins'!B6*'1.1. Ievade_Resursu aprēķins'!G4*'1.1. Ievade_Resursu aprēķins'!C6)</f>
        <v>39528</v>
      </c>
      <c r="D5" s="74">
        <f>C5+(C5*'1.1. Ievade_Resursu aprēķins'!G5)</f>
        <v>39607.055999999997</v>
      </c>
      <c r="E5" s="74">
        <f>D5+(D5*'1.1. Ievade_Resursu aprēķins'!$G$6)</f>
        <v>40399.197119999997</v>
      </c>
      <c r="F5" s="74">
        <f>E5+(E5*'1.1. Ievade_Resursu aprēķins'!$G$6)</f>
        <v>41207.181062399999</v>
      </c>
      <c r="G5" s="74">
        <f>F5+(F5*'1.1. Ievade_Resursu aprēķins'!$G$6)</f>
        <v>42031.324683647996</v>
      </c>
      <c r="H5" s="74">
        <f>G5+(G5*'1.1. Ievade_Resursu aprēķins'!$G$6)</f>
        <v>42871.951177320952</v>
      </c>
      <c r="I5" s="74">
        <f>H5+(H5*'1.1. Ievade_Resursu aprēķins'!$G$6)</f>
        <v>43729.390200867369</v>
      </c>
      <c r="J5" s="74">
        <f>I5+(I5*'1.1. Ievade_Resursu aprēķins'!$G$6)</f>
        <v>44603.978004884717</v>
      </c>
      <c r="K5" s="74">
        <f>J5+(J5*'1.1. Ievade_Resursu aprēķins'!$G$6)</f>
        <v>45496.05756498241</v>
      </c>
      <c r="L5" s="74">
        <f>K5+(K5*'1.1. Ievade_Resursu aprēķins'!$G$6)</f>
        <v>46405.978716282058</v>
      </c>
    </row>
    <row r="6" spans="1:12" ht="15.75" x14ac:dyDescent="0.25">
      <c r="A6" s="75" t="s">
        <v>87</v>
      </c>
      <c r="B6" s="73"/>
      <c r="C6" s="76"/>
      <c r="D6" s="76"/>
      <c r="E6" s="76"/>
      <c r="F6" s="76"/>
      <c r="G6" s="76"/>
      <c r="H6" s="76"/>
      <c r="I6" s="76"/>
      <c r="J6" s="76"/>
      <c r="K6" s="76"/>
      <c r="L6" s="76"/>
    </row>
    <row r="7" spans="1:12" ht="63" x14ac:dyDescent="0.25">
      <c r="A7" s="77"/>
      <c r="B7" s="78" t="s">
        <v>192</v>
      </c>
      <c r="C7" s="79">
        <f>('1.1. Ievade_Resursu aprēķins'!B8*'1.1. Ievade_Resursu aprēķins'!G4)</f>
        <v>15444</v>
      </c>
      <c r="D7" s="80">
        <f>C7+(C7*'1.1. Ievade_Resursu aprēķins'!$G$5)</f>
        <v>15474.888000000001</v>
      </c>
      <c r="E7" s="80">
        <f>D7+(D7*'1.1. Ievade_Resursu aprēķins'!$G$6)</f>
        <v>15784.385760000001</v>
      </c>
      <c r="F7" s="80">
        <f>E7+(E7*'1.1. Ievade_Resursu aprēķins'!$G$6)</f>
        <v>16100.073475200001</v>
      </c>
      <c r="G7" s="80">
        <f>F7+(F7*'1.1. Ievade_Resursu aprēķins'!$G$6)</f>
        <v>16422.074944704</v>
      </c>
      <c r="H7" s="80">
        <f>G7+(G7*'1.1. Ievade_Resursu aprēķins'!$G$6)</f>
        <v>16750.516443598081</v>
      </c>
      <c r="I7" s="80">
        <f>H7+(H7*'1.1. Ievade_Resursu aprēķins'!$G$6)</f>
        <v>17085.526772470042</v>
      </c>
      <c r="J7" s="80">
        <f>I7+(I7*'1.1. Ievade_Resursu aprēķins'!$G$6)</f>
        <v>17427.237307919444</v>
      </c>
      <c r="K7" s="80">
        <f>J7+(J7*'1.1. Ievade_Resursu aprēķins'!$G$6)</f>
        <v>17775.782054077834</v>
      </c>
      <c r="L7" s="80">
        <f>K7+(K7*'1.1. Ievade_Resursu aprēķins'!$G$6)</f>
        <v>18131.297695159392</v>
      </c>
    </row>
    <row r="8" spans="1:12" ht="15.75" x14ac:dyDescent="0.25">
      <c r="A8" s="75"/>
      <c r="B8" s="73" t="s">
        <v>176</v>
      </c>
      <c r="C8" s="74">
        <f>'1.1. Ievade_Resursu aprēķins'!B23*'1.1. Ievade_Resursu aprēķins'!C23+'1.1. Ievade_Resursu aprēķins'!B24*'1.1. Ievade_Resursu aprēķins'!C24*'1.1. Ievade_Resursu aprēķins'!B25</f>
        <v>252000</v>
      </c>
      <c r="D8" s="74">
        <f>'1.1. Ievade_Resursu aprēķins'!B24*'1.1. Ievade_Resursu aprēķins'!C24*'1.1. Ievade_Resursu aprēķins'!B25+'1.1. Ievade_Resursu aprēķins'!B26*'1.1. Ievade_Resursu aprēķins'!C26+(('1.1. Ievade_Resursu aprēķins'!B24*'1.1. Ievade_Resursu aprēķins'!C24*'1.1. Ievade_Resursu aprēķins'!B25+'1.1. Ievade_Resursu aprēķins'!B26*'1.1. Ievade_Resursu aprēķins'!C26)*'1.1. Ievade_Resursu aprēķins'!G5)</f>
        <v>117234</v>
      </c>
      <c r="E8" s="74">
        <f>D8+(D8*'1.1. Ievade_Resursu aprēķins'!$G$6)</f>
        <v>119578.68</v>
      </c>
      <c r="F8" s="74">
        <f>E8+(E8*'1.1. Ievade_Resursu aprēķins'!$G$6)</f>
        <v>121970.2536</v>
      </c>
      <c r="G8" s="74">
        <f>F8+(F8*'1.1. Ievade_Resursu aprēķins'!$G$6)</f>
        <v>124409.65867199999</v>
      </c>
      <c r="H8" s="74">
        <f>G8+(G8*'1.1. Ievade_Resursu aprēķins'!$G$6)</f>
        <v>126897.85184543999</v>
      </c>
      <c r="I8" s="74">
        <f>H8+(H8*'1.1. Ievade_Resursu aprēķins'!$G$6)</f>
        <v>129435.80888234879</v>
      </c>
      <c r="J8" s="74">
        <f>I8+(I8*'1.1. Ievade_Resursu aprēķins'!$G$6)</f>
        <v>132024.52505999577</v>
      </c>
      <c r="K8" s="74">
        <f>J8+(J8*'1.1. Ievade_Resursu aprēķins'!$G$6)</f>
        <v>134665.01556119567</v>
      </c>
      <c r="L8" s="74">
        <f>K8+(K8*'1.1. Ievade_Resursu aprēķins'!$G$6)</f>
        <v>137358.3158724196</v>
      </c>
    </row>
    <row r="9" spans="1:12" ht="15.75" x14ac:dyDescent="0.25">
      <c r="A9" s="75"/>
      <c r="B9" s="73" t="s">
        <v>177</v>
      </c>
      <c r="C9" s="74">
        <f>'1.1. Ievade_Resursu aprēķins'!B9*'1.1. Ievade_Resursu aprēķins'!C9</f>
        <v>30000</v>
      </c>
      <c r="D9" s="74">
        <f>C9*(1+'1.1. Ievade_Resursu aprēķins'!$G$5)</f>
        <v>30060</v>
      </c>
      <c r="E9" s="74">
        <f>D9*(1+'1.1. Ievade_Resursu aprēķins'!$G$6)</f>
        <v>30661.200000000001</v>
      </c>
      <c r="F9" s="74">
        <f>E9*(1+'1.1. Ievade_Resursu aprēķins'!$G$6)</f>
        <v>31274.424000000003</v>
      </c>
      <c r="G9" s="74">
        <f>F9*(1+'1.1. Ievade_Resursu aprēķins'!$G$6)</f>
        <v>31899.912480000003</v>
      </c>
      <c r="H9" s="74">
        <f>G9*(1+'1.1. Ievade_Resursu aprēķins'!$G$6)</f>
        <v>32537.910729600004</v>
      </c>
      <c r="I9" s="74">
        <f>H9*(1+'1.1. Ievade_Resursu aprēķins'!$G$6)</f>
        <v>33188.668944192003</v>
      </c>
      <c r="J9" s="74">
        <f>I9*(1+'1.1. Ievade_Resursu aprēķins'!$G$6)</f>
        <v>33852.44232307584</v>
      </c>
      <c r="K9" s="74">
        <f>J9*(1+'1.1. Ievade_Resursu aprēķins'!$G$6)</f>
        <v>34529.491169537359</v>
      </c>
      <c r="L9" s="74">
        <f>K9*(1+'1.1. Ievade_Resursu aprēķins'!$G$6)</f>
        <v>35220.080992928109</v>
      </c>
    </row>
    <row r="10" spans="1:12" ht="15.75" x14ac:dyDescent="0.25">
      <c r="A10" s="75"/>
      <c r="B10" s="73" t="s">
        <v>138</v>
      </c>
      <c r="C10" s="74">
        <f>'1.1. Ievade_Resursu aprēķins'!$B$21</f>
        <v>22500</v>
      </c>
      <c r="D10" s="74">
        <f>C10+(C10*'1.1. Ievade_Resursu aprēķins'!G5)</f>
        <v>22545</v>
      </c>
      <c r="E10" s="74">
        <f>D10+(D10*'1.1. Ievade_Resursu aprēķins'!$G$6)</f>
        <v>22995.9</v>
      </c>
      <c r="F10" s="74">
        <f>E10+(E10*'1.1. Ievade_Resursu aprēķins'!$G$6)</f>
        <v>23455.818000000003</v>
      </c>
      <c r="G10" s="74">
        <f>F10+(F10*'1.1. Ievade_Resursu aprēķins'!$G$6)</f>
        <v>23924.934360000003</v>
      </c>
      <c r="H10" s="74">
        <f>G10+(G10*'1.1. Ievade_Resursu aprēķins'!$G$6)</f>
        <v>24403.433047200004</v>
      </c>
      <c r="I10" s="74">
        <f>H10+(H10*'1.1. Ievade_Resursu aprēķins'!$G$6)</f>
        <v>24891.501708144006</v>
      </c>
      <c r="J10" s="74">
        <f>I10+(I10*'1.1. Ievade_Resursu aprēķins'!$G$6)</f>
        <v>25389.331742306887</v>
      </c>
      <c r="K10" s="74">
        <f>J10+(J10*'1.1. Ievade_Resursu aprēķins'!$G$6)</f>
        <v>25897.118377153027</v>
      </c>
      <c r="L10" s="74">
        <f>K10+(K10*'1.1. Ievade_Resursu aprēķins'!$G$6)</f>
        <v>26415.060744696086</v>
      </c>
    </row>
    <row r="11" spans="1:12" ht="15.75" x14ac:dyDescent="0.25">
      <c r="A11" s="75"/>
      <c r="B11" s="81" t="s">
        <v>88</v>
      </c>
      <c r="C11" s="74">
        <f>'1.1. Ievade_Resursu aprēķins'!B28+'1.1. Ievade_Resursu aprēķins'!B29*'1.1. Ievade_Resursu aprēķins'!B30</f>
        <v>88000</v>
      </c>
      <c r="D11" s="74">
        <f>'1.1. Ievade_Resursu aprēķins'!B29*'1.1. Ievade_Resursu aprēķins'!B30+'1.1. Ievade_Resursu aprēķins'!B31+(('1.1. Ievade_Resursu aprēķins'!B29*'1.1. Ievade_Resursu aprēķins'!B30+'1.1. Ievade_Resursu aprēķins'!B31)*'1.1. Ievade_Resursu aprēķins'!G5)</f>
        <v>43086</v>
      </c>
      <c r="E11" s="74">
        <f>D11+('1.1. Ievade_Resursu aprēķins'!$G$6*D11)</f>
        <v>43947.72</v>
      </c>
      <c r="F11" s="74">
        <f>E11+('1.1. Ievade_Resursu aprēķins'!$G$6*E11)</f>
        <v>44826.674400000004</v>
      </c>
      <c r="G11" s="74">
        <f>F11+('1.1. Ievade_Resursu aprēķins'!$G$6*F11)</f>
        <v>45723.207888000004</v>
      </c>
      <c r="H11" s="74">
        <f>G11+('1.1. Ievade_Resursu aprēķins'!$G$6*G11)</f>
        <v>46637.672045760002</v>
      </c>
      <c r="I11" s="74">
        <f>H11+('1.1. Ievade_Resursu aprēķins'!$G$6*H11)</f>
        <v>47570.425486675202</v>
      </c>
      <c r="J11" s="74">
        <f>I11+('1.1. Ievade_Resursu aprēķins'!$G$6*I11)</f>
        <v>48521.833996408706</v>
      </c>
      <c r="K11" s="74">
        <f>J11+('1.1. Ievade_Resursu aprēķins'!$G$6*J11)</f>
        <v>49492.270676336877</v>
      </c>
      <c r="L11" s="74">
        <f>K11+('1.1. Ievade_Resursu aprēķins'!$G$6*K11)</f>
        <v>50482.116089863615</v>
      </c>
    </row>
    <row r="12" spans="1:12" ht="15.75" x14ac:dyDescent="0.25">
      <c r="A12" s="75"/>
      <c r="B12" s="81" t="s">
        <v>144</v>
      </c>
      <c r="C12" s="74">
        <f>'1.1. Ievade_Resursu aprēķins'!B33+'1.1. Ievade_Resursu aprēķins'!B34</f>
        <v>89278.25</v>
      </c>
      <c r="D12" s="82">
        <f>'1.1. Ievade_Resursu aprēķins'!B33+('1.1. Ievade_Resursu aprēķins'!B33*'1.1. Ievade_Resursu aprēķins'!G5)</f>
        <v>49376.806499999999</v>
      </c>
      <c r="E12" s="82">
        <f>D12+(D12*'1.1. Ievade_Resursu aprēķins'!$G$6)</f>
        <v>50364.342629999999</v>
      </c>
      <c r="F12" s="82">
        <f>E12+(E12*'1.1. Ievade_Resursu aprēķins'!$G$6)</f>
        <v>51371.629482600001</v>
      </c>
      <c r="G12" s="82">
        <f>F12+(F12*'1.1. Ievade_Resursu aprēķins'!$G$6)</f>
        <v>52399.062072252003</v>
      </c>
      <c r="H12" s="82">
        <f>G12+(G12*'1.1. Ievade_Resursu aprēķins'!$G$6)</f>
        <v>53447.043313697046</v>
      </c>
      <c r="I12" s="82">
        <f>H12+(H12*'1.1. Ievade_Resursu aprēķins'!$G$6)</f>
        <v>54515.98417997099</v>
      </c>
      <c r="J12" s="82">
        <f>I12+(I12*'1.1. Ievade_Resursu aprēķins'!$G$6)</f>
        <v>55606.303863570407</v>
      </c>
      <c r="K12" s="82">
        <f>J12+(J12*'1.1. Ievade_Resursu aprēķins'!$G$6)</f>
        <v>56718.429940841816</v>
      </c>
      <c r="L12" s="82">
        <f>K12+(K12*'1.1. Ievade_Resursu aprēķins'!$G$6)</f>
        <v>57852.798539658652</v>
      </c>
    </row>
    <row r="13" spans="1:12" ht="15.75" x14ac:dyDescent="0.25">
      <c r="A13" s="75"/>
      <c r="B13" s="81" t="s">
        <v>178</v>
      </c>
      <c r="C13" s="74">
        <f>('1.1. Ievade_Resursu aprēķins'!B12+'1.1. Ievade_Resursu aprēķins'!B13)*'1.1. Ievade_Resursu aprēķins'!B11*'1.1. Ievade_Resursu aprēķins'!C12+('1.1. Ievade_Resursu aprēķins'!B16*'1.1. Ievade_Resursu aprēķins'!G4)+'1.1. Ievade_Resursu aprēķins'!B18+'1.1. Ievade_Resursu aprēķins'!B19+('1.1. Ievade_Resursu aprēķins'!B14*'1.1. Ievade_Resursu aprēķins'!C14)</f>
        <v>133792</v>
      </c>
      <c r="D13" s="74">
        <f>('1.1. Ievade_Resursu aprēķins'!B13*'1.1. Ievade_Resursu aprēķins'!B11*'1.1. Ievade_Resursu aprēķins'!C12+('1.1. Ievade_Resursu aprēķins'!B16*'1.1. Ievade_Resursu aprēķins'!G4)+'1.1. Ievade_Resursu aprēķins'!B19+'1.1. Ievade_Resursu aprēķins'!B15+(('1.1. Ievade_Resursu aprēķins'!B15*'1.1. Ievade_Resursu aprēķins'!B17)*'1.1. Ievade_Resursu aprēķins'!B12*'1.1. Ievade_Resursu aprēķins'!B11))*(1+'1.1. Ievade_Resursu aprēķins'!G5)</f>
        <v>51663.360479999996</v>
      </c>
      <c r="E13" s="82">
        <f>D13+(D13*'1.1. Ievade_Resursu aprēķins'!$G$6)</f>
        <v>52696.627689599998</v>
      </c>
      <c r="F13" s="82">
        <f>E13+(E13*'1.1. Ievade_Resursu aprēķins'!$G$6)</f>
        <v>53750.560243391999</v>
      </c>
      <c r="G13" s="82">
        <f>F13+(F13*'1.1. Ievade_Resursu aprēķins'!$G$6)</f>
        <v>54825.571448259841</v>
      </c>
      <c r="H13" s="82">
        <f>G13+(G13*'1.1. Ievade_Resursu aprēķins'!$G$6)</f>
        <v>55922.082877225039</v>
      </c>
      <c r="I13" s="82">
        <f>H13+(H13*'1.1. Ievade_Resursu aprēķins'!$G$6)</f>
        <v>57040.524534769538</v>
      </c>
      <c r="J13" s="82">
        <f>I13+(I13*'1.1. Ievade_Resursu aprēķins'!$G$6)</f>
        <v>58181.335025464927</v>
      </c>
      <c r="K13" s="82">
        <f>J13+(J13*'1.1. Ievade_Resursu aprēķins'!$G$6)</f>
        <v>59344.961725974223</v>
      </c>
      <c r="L13" s="82">
        <f>K13+(K13*'1.1. Ievade_Resursu aprēķins'!$G$6)</f>
        <v>60531.860960493708</v>
      </c>
    </row>
    <row r="14" spans="1:12" ht="15.75" x14ac:dyDescent="0.25">
      <c r="A14" s="75"/>
      <c r="B14" s="81" t="s">
        <v>146</v>
      </c>
      <c r="C14" s="74">
        <f>'1.1. Ievade_Resursu aprēķins'!B36</f>
        <v>625000</v>
      </c>
      <c r="D14" s="76"/>
      <c r="E14" s="76"/>
      <c r="F14" s="76"/>
      <c r="G14" s="76"/>
      <c r="H14" s="76"/>
      <c r="I14" s="76"/>
      <c r="J14" s="76"/>
      <c r="K14" s="76"/>
      <c r="L14" s="76"/>
    </row>
    <row r="15" spans="1:12" ht="47.25" x14ac:dyDescent="0.25">
      <c r="A15" s="75"/>
      <c r="B15" s="83" t="s">
        <v>148</v>
      </c>
      <c r="C15" s="74">
        <f>'1.1. Ievade_Resursu aprēķins'!$B$38*'1.1. Ievade_Resursu aprēķins'!$C$38+'1.1. Ievade_Resursu aprēķins'!B39</f>
        <v>17280</v>
      </c>
      <c r="D15" s="82">
        <f>('1.1. Ievade_Resursu aprēķins'!B38*'1.1. Ievade_Resursu aprēķins'!C38)+(('1.1. Ievade_Resursu aprēķins'!B38*'1.1. Ievade_Resursu aprēķins'!C38)*'1.1. Ievade_Resursu aprēķins'!$G$6)</f>
        <v>2325.6</v>
      </c>
      <c r="E15" s="82">
        <f>D15+(D15*'1.1. Ievade_Resursu aprēķins'!$G$6)</f>
        <v>2372.1120000000001</v>
      </c>
      <c r="F15" s="82">
        <f>E15+(E15*'1.1. Ievade_Resursu aprēķins'!$G$6)</f>
        <v>2419.5542399999999</v>
      </c>
      <c r="G15" s="82">
        <f>F15+(F15*'1.1. Ievade_Resursu aprēķins'!$G$6)</f>
        <v>2467.9453248</v>
      </c>
      <c r="H15" s="82">
        <f>G15+(G15*'1.1. Ievade_Resursu aprēķins'!$G$6)</f>
        <v>2517.3042312960001</v>
      </c>
      <c r="I15" s="82">
        <f>H15+(H15*'1.1. Ievade_Resursu aprēķins'!$G$6)</f>
        <v>2567.6503159219201</v>
      </c>
      <c r="J15" s="82">
        <f>I15+(I15*'1.1. Ievade_Resursu aprēķins'!$G$6)</f>
        <v>2619.0033222403586</v>
      </c>
      <c r="K15" s="82">
        <f>J15+(J15*'1.1. Ievade_Resursu aprēķins'!$G$6)</f>
        <v>2671.3833886851658</v>
      </c>
      <c r="L15" s="82">
        <f>K15+(K15*'1.1. Ievade_Resursu aprēķins'!$G$6)</f>
        <v>2724.8110564588692</v>
      </c>
    </row>
    <row r="16" spans="1:12" ht="15.75" x14ac:dyDescent="0.25">
      <c r="A16" s="75" t="s">
        <v>179</v>
      </c>
      <c r="B16" s="73"/>
      <c r="C16" s="76"/>
      <c r="D16" s="76"/>
      <c r="E16" s="76"/>
      <c r="F16" s="76"/>
      <c r="G16" s="76"/>
      <c r="H16" s="76"/>
      <c r="I16" s="76"/>
      <c r="J16" s="76"/>
      <c r="K16" s="76"/>
      <c r="L16" s="76"/>
    </row>
    <row r="17" spans="1:13" ht="15.75" x14ac:dyDescent="0.25">
      <c r="A17" s="84"/>
      <c r="B17" s="85" t="s">
        <v>89</v>
      </c>
      <c r="C17" s="79">
        <f>'1.1. Ievade_Resursu aprēķins'!B41*'1.1. Ievade_Resursu aprēķins'!C41*'1.1. Ievade_Resursu aprēķins'!G4</f>
        <v>20059.2</v>
      </c>
      <c r="D17" s="79"/>
      <c r="E17" s="79"/>
      <c r="F17" s="79"/>
      <c r="G17" s="79"/>
      <c r="H17" s="79"/>
      <c r="I17" s="79"/>
      <c r="J17" s="79"/>
      <c r="K17" s="79"/>
      <c r="L17" s="79"/>
    </row>
    <row r="18" spans="1:13" ht="15.75" x14ac:dyDescent="0.25">
      <c r="A18" s="75" t="s">
        <v>180</v>
      </c>
      <c r="B18" s="73"/>
      <c r="C18" s="76"/>
      <c r="D18" s="76"/>
      <c r="E18" s="76"/>
      <c r="F18" s="76"/>
      <c r="G18" s="76"/>
      <c r="H18" s="76"/>
      <c r="I18" s="76"/>
      <c r="J18" s="76"/>
      <c r="K18" s="76"/>
      <c r="L18" s="76"/>
    </row>
    <row r="19" spans="1:13" ht="15.75" x14ac:dyDescent="0.25">
      <c r="A19" s="84"/>
      <c r="B19" s="85" t="s">
        <v>181</v>
      </c>
      <c r="C19" s="79">
        <f>'1.1. Ievade_Resursu aprēķins'!B46*'1.1. Ievade_Resursu aprēķins'!C46</f>
        <v>5000</v>
      </c>
      <c r="D19" s="79"/>
      <c r="E19" s="79"/>
      <c r="F19" s="79"/>
      <c r="G19" s="79"/>
      <c r="H19" s="79"/>
      <c r="I19" s="79"/>
      <c r="J19" s="79"/>
      <c r="K19" s="79"/>
      <c r="L19" s="79"/>
      <c r="M19" s="3"/>
    </row>
    <row r="20" spans="1:13" ht="15.75" x14ac:dyDescent="0.25">
      <c r="A20" s="72"/>
      <c r="B20" s="73" t="s">
        <v>182</v>
      </c>
      <c r="C20" s="74">
        <f>'1.1. Ievade_Resursu aprēķins'!B47</f>
        <v>6000</v>
      </c>
      <c r="D20" s="74"/>
      <c r="E20" s="74"/>
      <c r="F20" s="74"/>
      <c r="G20" s="74"/>
      <c r="H20" s="74"/>
      <c r="I20" s="74"/>
      <c r="J20" s="74"/>
      <c r="K20" s="74"/>
      <c r="L20" s="74"/>
      <c r="M20" s="3"/>
    </row>
    <row r="21" spans="1:13" ht="15.75" x14ac:dyDescent="0.25">
      <c r="A21" s="86"/>
      <c r="B21" s="87" t="s">
        <v>183</v>
      </c>
      <c r="C21" s="74"/>
      <c r="D21" s="74">
        <f>'1.1. Ievade_Resursu aprēķins'!B48</f>
        <v>15000</v>
      </c>
      <c r="E21" s="74"/>
      <c r="F21" s="74"/>
      <c r="G21" s="74"/>
      <c r="H21" s="74"/>
      <c r="I21" s="74"/>
      <c r="J21" s="74"/>
      <c r="K21" s="74"/>
      <c r="L21" s="74"/>
      <c r="M21" s="3"/>
    </row>
    <row r="22" spans="1:13" ht="15.75" x14ac:dyDescent="0.25">
      <c r="A22" s="86"/>
      <c r="B22" s="87" t="s">
        <v>90</v>
      </c>
      <c r="C22" s="74"/>
      <c r="D22" s="74">
        <f>'1.1. Ievade_Resursu aprēķins'!B49</f>
        <v>10000</v>
      </c>
      <c r="E22" s="74"/>
      <c r="F22" s="74"/>
      <c r="G22" s="74"/>
      <c r="H22" s="74"/>
      <c r="I22" s="74"/>
      <c r="J22" s="74"/>
      <c r="K22" s="74"/>
      <c r="L22" s="74"/>
      <c r="M22" s="3"/>
    </row>
    <row r="23" spans="1:13" ht="15.75" x14ac:dyDescent="0.25">
      <c r="A23" s="86"/>
      <c r="B23" s="87" t="str">
        <f>'1.1. Ievade_Resursu aprēķins'!A50</f>
        <v>Ikgadējas speciālistu mācību izmaksas</v>
      </c>
      <c r="C23" s="74"/>
      <c r="D23" s="74"/>
      <c r="E23" s="74">
        <f>'1.1. Ievade_Resursu aprēķins'!B50</f>
        <v>10000</v>
      </c>
      <c r="F23" s="74">
        <f>'2.1. Resursu aprēķins'!E23+('2.1. Resursu aprēķins'!E23*'1.1. Ievade_Resursu aprēķins'!$G$6)</f>
        <v>10200</v>
      </c>
      <c r="G23" s="74">
        <f>'2.1. Resursu aprēķins'!F23+('2.1. Resursu aprēķins'!F23*'1.1. Ievade_Resursu aprēķins'!$G$6)</f>
        <v>10404</v>
      </c>
      <c r="H23" s="74">
        <f>'2.1. Resursu aprēķins'!G23+('2.1. Resursu aprēķins'!G23*'1.1. Ievade_Resursu aprēķins'!$G$6)</f>
        <v>10612.08</v>
      </c>
      <c r="I23" s="74">
        <f>'2.1. Resursu aprēķins'!H23+('2.1. Resursu aprēķins'!H23*'1.1. Ievade_Resursu aprēķins'!$G$6)</f>
        <v>10824.321599999999</v>
      </c>
      <c r="J23" s="74">
        <f>'2.1. Resursu aprēķins'!I23+('2.1. Resursu aprēķins'!I23*'1.1. Ievade_Resursu aprēķins'!$G$6)</f>
        <v>11040.808031999999</v>
      </c>
      <c r="K23" s="74">
        <f>'2.1. Resursu aprēķins'!J23+('2.1. Resursu aprēķins'!J23*'1.1. Ievade_Resursu aprēķins'!$G$6)</f>
        <v>11261.62419264</v>
      </c>
      <c r="L23" s="74">
        <f>'2.1. Resursu aprēķins'!K23+('2.1. Resursu aprēķins'!K23*'1.1. Ievade_Resursu aprēķins'!$G$6)</f>
        <v>11486.8566764928</v>
      </c>
      <c r="M23" s="3"/>
    </row>
    <row r="24" spans="1:13" ht="15.75" x14ac:dyDescent="0.25">
      <c r="A24" s="75" t="s">
        <v>91</v>
      </c>
      <c r="B24" s="73"/>
      <c r="C24" s="74"/>
      <c r="D24" s="74"/>
      <c r="E24" s="74"/>
      <c r="F24" s="74"/>
      <c r="G24" s="74"/>
      <c r="H24" s="74"/>
      <c r="I24" s="74"/>
      <c r="J24" s="74"/>
      <c r="K24" s="74"/>
      <c r="L24" s="74"/>
      <c r="M24" s="3"/>
    </row>
    <row r="25" spans="1:13" ht="15.75" x14ac:dyDescent="0.25">
      <c r="A25" s="84"/>
      <c r="B25" s="101" t="s">
        <v>92</v>
      </c>
      <c r="C25" s="99">
        <f>'1.1. Ievade_Resursu aprēķins'!B43*'1.1. Ievade_Resursu aprēķins'!C43*'1.1. Ievade_Resursu aprēķins'!G4</f>
        <v>4200</v>
      </c>
      <c r="D25" s="79">
        <f>C25+(C25*'1.1. Ievade_Resursu aprēķins'!G5)</f>
        <v>4208.3999999999996</v>
      </c>
      <c r="E25" s="79">
        <f>(D25*'1.1. Ievade_Resursu aprēķins'!$G$6)+D25</f>
        <v>4292.5679999999993</v>
      </c>
      <c r="F25" s="79">
        <f>(E25*'1.1. Ievade_Resursu aprēķins'!$G$6)+E25</f>
        <v>4378.419359999999</v>
      </c>
      <c r="G25" s="79">
        <f>(F25*'1.1. Ievade_Resursu aprēķins'!$G$6)+F25</f>
        <v>4465.9877471999989</v>
      </c>
      <c r="H25" s="79">
        <f>(G25*'1.1. Ievade_Resursu aprēķins'!$G$6)+G25</f>
        <v>4555.307502143999</v>
      </c>
      <c r="I25" s="79">
        <f>(H25*'1.1. Ievade_Resursu aprēķins'!$G$6)+H25</f>
        <v>4646.4136521868786</v>
      </c>
      <c r="J25" s="79">
        <f>(I25*'1.1. Ievade_Resursu aprēķins'!$G$6)+I25</f>
        <v>4739.3419252306157</v>
      </c>
      <c r="K25" s="79">
        <f>(J25*'1.1. Ievade_Resursu aprēķins'!$G$6)+J25</f>
        <v>4834.1287637352279</v>
      </c>
      <c r="L25" s="79">
        <f>(K25*'1.1. Ievade_Resursu aprēķins'!$G$6)+K25</f>
        <v>4930.8113390099325</v>
      </c>
      <c r="M25" s="3"/>
    </row>
    <row r="26" spans="1:13" ht="15.75" x14ac:dyDescent="0.25">
      <c r="A26" s="88"/>
      <c r="B26" s="100" t="s">
        <v>240</v>
      </c>
      <c r="C26" s="89">
        <f>'1.1. Ievade_Resursu aprēķins'!B44*'1.1. Ievade_Resursu aprēķins'!G4</f>
        <v>15444</v>
      </c>
      <c r="D26" s="89">
        <f>C26+(C26*'1.1. Ievade_Resursu aprēķins'!$G$6)</f>
        <v>15752.88</v>
      </c>
      <c r="E26" s="89">
        <f>D26+(D26*'1.1. Ievade_Resursu aprēķins'!$G$6)</f>
        <v>16067.937599999999</v>
      </c>
      <c r="F26" s="89">
        <f>E26+(E26*'1.1. Ievade_Resursu aprēķins'!$G$6)</f>
        <v>16389.296351999998</v>
      </c>
      <c r="G26" s="89">
        <f>F26+(F26*'1.1. Ievade_Resursu aprēķins'!$G$6)</f>
        <v>16717.082279039998</v>
      </c>
      <c r="H26" s="89">
        <f>G26+(G26*'1.1. Ievade_Resursu aprēķins'!$G$6)</f>
        <v>17051.423924620798</v>
      </c>
      <c r="I26" s="89">
        <f>H26+(H26*'1.1. Ievade_Resursu aprēķins'!$G$6)</f>
        <v>17392.452403113213</v>
      </c>
      <c r="J26" s="89">
        <f>I26+(I26*'1.1. Ievade_Resursu aprēķins'!$G$6)</f>
        <v>17740.301451175477</v>
      </c>
      <c r="K26" s="89">
        <f>J26+(J26*'1.1. Ievade_Resursu aprēķins'!$G$6)</f>
        <v>18095.107480198985</v>
      </c>
      <c r="L26" s="89">
        <f>K26+(K26*'1.1. Ievade_Resursu aprēķins'!$G$6)</f>
        <v>18457.009629802964</v>
      </c>
    </row>
    <row r="27" spans="1:13" ht="15.75" x14ac:dyDescent="0.25">
      <c r="A27" s="90"/>
      <c r="B27" s="90" t="s">
        <v>184</v>
      </c>
      <c r="C27" s="91">
        <f t="shared" ref="C27:L27" si="0">SUM(C3:C26)</f>
        <v>1872525.45</v>
      </c>
      <c r="D27" s="91">
        <f t="shared" si="0"/>
        <v>496333.99098</v>
      </c>
      <c r="E27" s="91">
        <f t="shared" si="0"/>
        <v>489160.67079960002</v>
      </c>
      <c r="F27" s="91">
        <f t="shared" si="0"/>
        <v>497343.88421559212</v>
      </c>
      <c r="G27" s="91">
        <f t="shared" si="0"/>
        <v>505690.76189990382</v>
      </c>
      <c r="H27" s="91">
        <f t="shared" si="0"/>
        <v>514204.57713790197</v>
      </c>
      <c r="I27" s="91">
        <f t="shared" si="0"/>
        <v>522888.66868065996</v>
      </c>
      <c r="J27" s="91">
        <f t="shared" si="0"/>
        <v>531746.44205427309</v>
      </c>
      <c r="K27" s="91">
        <f t="shared" si="0"/>
        <v>540781.37089535862</v>
      </c>
      <c r="L27" s="91">
        <f t="shared" si="0"/>
        <v>549996.99831326574</v>
      </c>
    </row>
    <row r="28" spans="1:13" ht="15.75" x14ac:dyDescent="0.25">
      <c r="A28" s="92"/>
      <c r="B28" s="92"/>
      <c r="C28" s="92"/>
      <c r="D28" s="92"/>
      <c r="E28" s="92"/>
      <c r="F28" s="92"/>
      <c r="G28" s="92"/>
      <c r="H28" s="92"/>
      <c r="I28" s="92"/>
      <c r="J28" s="92"/>
      <c r="K28" s="92"/>
      <c r="L28" s="92"/>
    </row>
    <row r="29" spans="1:13" ht="15.75" x14ac:dyDescent="0.25">
      <c r="A29" s="92"/>
      <c r="B29" s="93" t="s">
        <v>93</v>
      </c>
      <c r="C29" s="94">
        <f>SUM(C27:L27)</f>
        <v>6520672.8149765562</v>
      </c>
      <c r="D29" s="92"/>
      <c r="E29" s="92"/>
      <c r="F29" s="92"/>
      <c r="G29" s="92"/>
      <c r="H29" s="92"/>
      <c r="I29" s="92"/>
      <c r="J29" s="92"/>
      <c r="K29" s="92"/>
      <c r="L29" s="92"/>
    </row>
  </sheetData>
  <pageMargins left="0.7" right="0.7" top="0.75" bottom="0.75" header="0.3" footer="0.3"/>
  <pageSetup paperSize="9" orientation="portrait" horizontalDpi="300" verticalDpi="300" r:id="rId1"/>
  <ignoredErrors>
    <ignoredError sqref="E9:L11"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67D00-B524-4A4D-BD6E-A43D53B07166}">
  <dimension ref="A1:N28"/>
  <sheetViews>
    <sheetView workbookViewId="0">
      <selection activeCell="C30" sqref="C30"/>
    </sheetView>
  </sheetViews>
  <sheetFormatPr defaultColWidth="8.7109375" defaultRowHeight="15" x14ac:dyDescent="0.25"/>
  <cols>
    <col min="1" max="1" width="1.42578125" style="1" customWidth="1"/>
    <col min="2" max="2" width="53.7109375" style="1" customWidth="1"/>
    <col min="3" max="3" width="12.7109375" style="1" customWidth="1"/>
    <col min="4" max="12" width="14" style="1" bestFit="1" customWidth="1"/>
    <col min="13" max="13" width="14" style="1" customWidth="1"/>
    <col min="14" max="16384" width="8.7109375" style="1"/>
  </cols>
  <sheetData>
    <row r="1" spans="1:14" ht="47.25" customHeight="1" x14ac:dyDescent="0.25">
      <c r="A1" s="122" t="s">
        <v>94</v>
      </c>
      <c r="B1" s="122"/>
      <c r="C1" s="122"/>
      <c r="D1" s="122"/>
      <c r="E1" s="122"/>
      <c r="F1" s="122"/>
      <c r="G1" s="122"/>
      <c r="H1" s="122"/>
      <c r="I1" s="122"/>
      <c r="J1" s="122"/>
      <c r="K1" s="122"/>
      <c r="L1" s="122"/>
      <c r="M1" s="122"/>
    </row>
    <row r="2" spans="1:14" x14ac:dyDescent="0.25">
      <c r="A2" s="4"/>
      <c r="B2" s="4"/>
      <c r="C2" s="25" t="s">
        <v>95</v>
      </c>
      <c r="D2" s="25" t="s">
        <v>96</v>
      </c>
      <c r="E2" s="25" t="s">
        <v>97</v>
      </c>
      <c r="F2" s="25" t="s">
        <v>98</v>
      </c>
      <c r="G2" s="25" t="s">
        <v>99</v>
      </c>
      <c r="H2" s="25" t="s">
        <v>100</v>
      </c>
      <c r="I2" s="25" t="s">
        <v>101</v>
      </c>
      <c r="J2" s="25" t="s">
        <v>102</v>
      </c>
      <c r="K2" s="25" t="s">
        <v>103</v>
      </c>
      <c r="L2" s="25" t="s">
        <v>104</v>
      </c>
      <c r="M2" s="25" t="s">
        <v>105</v>
      </c>
    </row>
    <row r="3" spans="1:14" x14ac:dyDescent="0.25">
      <c r="A3" s="116" t="s">
        <v>106</v>
      </c>
      <c r="B3" s="117"/>
      <c r="C3" s="117"/>
      <c r="D3" s="117"/>
      <c r="E3" s="117"/>
      <c r="F3" s="117"/>
      <c r="G3" s="117"/>
      <c r="H3" s="117"/>
      <c r="I3" s="117"/>
      <c r="J3" s="117"/>
      <c r="K3" s="117"/>
      <c r="L3" s="117"/>
      <c r="M3" s="118"/>
    </row>
    <row r="4" spans="1:14" x14ac:dyDescent="0.25">
      <c r="A4" s="9"/>
      <c r="B4" s="5" t="s">
        <v>107</v>
      </c>
      <c r="C4" s="12">
        <f>'1.1. Ievade_Resursu aprēķins'!B9*'1.1. Ievade_Resursu aprēķins'!C9</f>
        <v>30000</v>
      </c>
      <c r="D4" s="12">
        <f>'2.1. Resursu aprēķins'!D9</f>
        <v>30060</v>
      </c>
      <c r="E4" s="12">
        <f>'2.1. Resursu aprēķins'!E9</f>
        <v>30661.200000000001</v>
      </c>
      <c r="F4" s="12">
        <f>'2.1. Resursu aprēķins'!F9</f>
        <v>31274.424000000003</v>
      </c>
      <c r="G4" s="12">
        <f>'2.1. Resursu aprēķins'!G9</f>
        <v>31899.912480000003</v>
      </c>
      <c r="H4" s="12">
        <f>'2.1. Resursu aprēķins'!H9</f>
        <v>32537.910729600004</v>
      </c>
      <c r="I4" s="12">
        <f>'2.1. Resursu aprēķins'!I9</f>
        <v>33188.668944192003</v>
      </c>
      <c r="J4" s="12">
        <f>'2.1. Resursu aprēķins'!J9</f>
        <v>33852.44232307584</v>
      </c>
      <c r="K4" s="12">
        <f>'2.1. Resursu aprēķins'!K9</f>
        <v>34529.491169537359</v>
      </c>
      <c r="L4" s="12">
        <f>'2.1. Resursu aprēķins'!L9</f>
        <v>35220.080992928109</v>
      </c>
      <c r="M4" s="35">
        <f>SUM(C4:L4)</f>
        <v>323224.13063933334</v>
      </c>
    </row>
    <row r="5" spans="1:14" x14ac:dyDescent="0.25">
      <c r="A5" s="6"/>
      <c r="B5" s="5" t="s">
        <v>108</v>
      </c>
      <c r="C5" s="12">
        <f>'1.3. Ievade_Alternatīvas'!B8*'1.3. Ievade_Alternatīvas'!C8+'1.3. Ievade_Alternatīvas'!B6*'1.3. Ievade_Alternatīvas'!C5*'1.3. Ievade_Alternatīvas'!B5</f>
        <v>25926.071428571428</v>
      </c>
      <c r="D5" s="12">
        <f>C5+(C5*'1.1. Ievade_Resursu aprēķins'!$G$5)</f>
        <v>25977.923571428571</v>
      </c>
      <c r="E5" s="12">
        <f>D5+(D5*'1.1. Ievade_Resursu aprēķins'!$G$6)</f>
        <v>26497.482042857144</v>
      </c>
      <c r="F5" s="12">
        <f>E5+(E5*'1.1. Ievade_Resursu aprēķins'!$G$6)</f>
        <v>27027.431683714287</v>
      </c>
      <c r="G5" s="12">
        <f>F5+(F5*'1.1. Ievade_Resursu aprēķins'!$G$6)</f>
        <v>27567.980317388574</v>
      </c>
      <c r="H5" s="12">
        <f>G5+(G5*'1.1. Ievade_Resursu aprēķins'!$G$6)</f>
        <v>28119.339923736345</v>
      </c>
      <c r="I5" s="12">
        <f>H5+(H5*'1.1. Ievade_Resursu aprēķins'!$G$6)</f>
        <v>28681.726722211071</v>
      </c>
      <c r="J5" s="12">
        <f>I5+(I5*'1.1. Ievade_Resursu aprēķins'!$G$6)</f>
        <v>29255.361256655291</v>
      </c>
      <c r="K5" s="12">
        <f>J5+(J5*'1.1. Ievade_Resursu aprēķins'!$G$6)</f>
        <v>29840.468481788397</v>
      </c>
      <c r="L5" s="12">
        <f>K5+(K5*'1.1. Ievade_Resursu aprēķins'!$G$6)</f>
        <v>30437.277851424165</v>
      </c>
      <c r="M5" s="35">
        <f t="shared" ref="M5:M21" si="0">SUM(C5:L5)</f>
        <v>279331.06327977532</v>
      </c>
    </row>
    <row r="6" spans="1:14" x14ac:dyDescent="0.25">
      <c r="A6" s="116" t="s">
        <v>109</v>
      </c>
      <c r="B6" s="117"/>
      <c r="C6" s="117"/>
      <c r="D6" s="117"/>
      <c r="E6" s="117"/>
      <c r="F6" s="117"/>
      <c r="G6" s="117"/>
      <c r="H6" s="117"/>
      <c r="I6" s="117"/>
      <c r="J6" s="117"/>
      <c r="K6" s="117"/>
      <c r="L6" s="117"/>
      <c r="M6" s="118"/>
      <c r="N6" s="59"/>
    </row>
    <row r="7" spans="1:14" x14ac:dyDescent="0.25">
      <c r="A7" s="9" t="s">
        <v>242</v>
      </c>
      <c r="B7" s="5"/>
      <c r="C7" s="11"/>
      <c r="D7" s="11"/>
      <c r="E7" s="11"/>
      <c r="F7" s="11"/>
      <c r="G7" s="11"/>
      <c r="H7" s="11"/>
      <c r="I7" s="11"/>
      <c r="J7" s="11"/>
      <c r="K7" s="11"/>
      <c r="L7" s="11"/>
      <c r="M7" s="36"/>
    </row>
    <row r="8" spans="1:14" x14ac:dyDescent="0.25">
      <c r="A8" s="28"/>
      <c r="B8" s="102" t="s">
        <v>110</v>
      </c>
      <c r="C8" s="16">
        <f>SUM('1.2. Ievade_Aptauju izmaksas'!$F$4:$F$6,'1.2. Ievade_Aptauju izmaksas'!$F$8:$F$11,'1.2. Ievade_Aptauju izmaksas'!$F$13:$F$14,'1.2. Ievade_Aptauju izmaksas'!$F$17,'1.2. Ievade_Aptauju izmaksas'!$F$20,'1.2. Ievade_Aptauju izmaksas'!$F$22:$F$23)</f>
        <v>24100</v>
      </c>
      <c r="D8" s="29">
        <f>C8+(C8*'1.1. Ievade_Resursu aprēķins'!G5)</f>
        <v>24148.2</v>
      </c>
      <c r="E8" s="29">
        <f>D8+(D8*'1.1. Ievade_Resursu aprēķins'!$G$6)</f>
        <v>24631.164000000001</v>
      </c>
      <c r="F8" s="29">
        <f>E8+(E8*'1.1. Ievade_Resursu aprēķins'!$G$6)</f>
        <v>25123.78728</v>
      </c>
      <c r="G8" s="29">
        <f>F8+(F8*'1.1. Ievade_Resursu aprēķins'!$G$6)</f>
        <v>25626.263025600001</v>
      </c>
      <c r="H8" s="29">
        <f>G8+(G8*'1.1. Ievade_Resursu aprēķins'!$G$6)</f>
        <v>26138.788286112002</v>
      </c>
      <c r="I8" s="29">
        <f>H8+(H8*'1.1. Ievade_Resursu aprēķins'!$G$6)</f>
        <v>26661.564051834241</v>
      </c>
      <c r="J8" s="29">
        <f>I8+(I8*'1.1. Ievade_Resursu aprēķins'!$G$6)</f>
        <v>27194.795332870926</v>
      </c>
      <c r="K8" s="29">
        <f>J8+(J8*'1.1. Ievade_Resursu aprēķins'!$G$6)</f>
        <v>27738.691239528343</v>
      </c>
      <c r="L8" s="29">
        <f>K8+(K8*'1.1. Ievade_Resursu aprēķins'!$G$6)</f>
        <v>28293.465064318909</v>
      </c>
      <c r="M8" s="35">
        <f t="shared" si="0"/>
        <v>259656.71828026441</v>
      </c>
    </row>
    <row r="9" spans="1:14" x14ac:dyDescent="0.25">
      <c r="A9" s="9"/>
      <c r="B9" s="5" t="s">
        <v>241</v>
      </c>
      <c r="C9" s="12">
        <f>SUM('1.2. Ievade_Aptauju izmaksas'!$G$4:$G$6,'1.2. Ievade_Aptauju izmaksas'!$G$8:$G$11,'1.2. Ievade_Aptauju izmaksas'!$G$13:$G$14,'1.2. Ievade_Aptauju izmaksas'!$G$17,'1.2. Ievade_Aptauju izmaksas'!$G$20,'1.2. Ievade_Aptauju izmaksas'!$G$22:$G$23)</f>
        <v>1051622</v>
      </c>
      <c r="D9" s="12">
        <f>C9+(C9*'1.1. Ievade_Resursu aprēķins'!$G$5)</f>
        <v>1053725.2439999999</v>
      </c>
      <c r="E9" s="12">
        <f>D9+(D9*'1.1. Ievade_Resursu aprēķins'!$G$6)</f>
        <v>1074799.7488799999</v>
      </c>
      <c r="F9" s="12">
        <f>E9+(E9*'1.1. Ievade_Resursu aprēķins'!$G$6)</f>
        <v>1096295.7438575998</v>
      </c>
      <c r="G9" s="12">
        <f>F9+(F9*'1.1. Ievade_Resursu aprēķins'!$G$6)</f>
        <v>1118221.6587347519</v>
      </c>
      <c r="H9" s="12">
        <f>G9+(G9*'1.1. Ievade_Resursu aprēķins'!$G$6)</f>
        <v>1140586.091909447</v>
      </c>
      <c r="I9" s="12">
        <f>H9+(H9*'1.1. Ievade_Resursu aprēķins'!$G$6)</f>
        <v>1163397.813747636</v>
      </c>
      <c r="J9" s="12">
        <f>I9+(I9*'1.1. Ievade_Resursu aprēķins'!$G$6)</f>
        <v>1186665.7700225888</v>
      </c>
      <c r="K9" s="12">
        <f>J9+(J9*'1.1. Ievade_Resursu aprēķins'!$G$6)</f>
        <v>1210399.0854230407</v>
      </c>
      <c r="L9" s="12">
        <f>K9+(K9*'1.1. Ievade_Resursu aprēķins'!$G$6)</f>
        <v>1234607.0671315014</v>
      </c>
      <c r="M9" s="35">
        <f t="shared" si="0"/>
        <v>11330320.223706566</v>
      </c>
    </row>
    <row r="10" spans="1:14" x14ac:dyDescent="0.25">
      <c r="A10" s="34" t="s">
        <v>185</v>
      </c>
      <c r="B10" s="5"/>
      <c r="C10" s="11"/>
      <c r="D10" s="11"/>
      <c r="E10" s="11"/>
      <c r="F10" s="11"/>
      <c r="G10" s="11"/>
      <c r="H10" s="11"/>
      <c r="I10" s="11"/>
      <c r="J10" s="11"/>
      <c r="K10" s="11"/>
      <c r="L10" s="11"/>
      <c r="M10" s="36">
        <f>SUM(C10:L10)</f>
        <v>0</v>
      </c>
    </row>
    <row r="11" spans="1:14" x14ac:dyDescent="0.25">
      <c r="A11" s="8"/>
      <c r="B11" s="15" t="s">
        <v>111</v>
      </c>
      <c r="C11" s="129" t="s">
        <v>190</v>
      </c>
      <c r="D11" s="130"/>
      <c r="E11" s="130"/>
      <c r="F11" s="130"/>
      <c r="G11" s="130"/>
      <c r="H11" s="130"/>
      <c r="I11" s="130"/>
      <c r="J11" s="130"/>
      <c r="K11" s="130"/>
      <c r="L11" s="130"/>
      <c r="M11" s="131"/>
    </row>
    <row r="12" spans="1:14" x14ac:dyDescent="0.25">
      <c r="A12" s="6"/>
      <c r="B12" s="5" t="s">
        <v>112</v>
      </c>
      <c r="C12" s="132"/>
      <c r="D12" s="133"/>
      <c r="E12" s="133"/>
      <c r="F12" s="133"/>
      <c r="G12" s="133"/>
      <c r="H12" s="133"/>
      <c r="I12" s="133"/>
      <c r="J12" s="133"/>
      <c r="K12" s="133"/>
      <c r="L12" s="133"/>
      <c r="M12" s="134"/>
    </row>
    <row r="13" spans="1:14" x14ac:dyDescent="0.25">
      <c r="A13" s="38" t="s">
        <v>210</v>
      </c>
      <c r="B13" s="7"/>
      <c r="C13" s="14"/>
      <c r="D13" s="14"/>
      <c r="E13" s="14"/>
      <c r="F13" s="14"/>
      <c r="G13" s="14"/>
      <c r="H13" s="14"/>
      <c r="I13" s="14"/>
      <c r="J13" s="14"/>
      <c r="K13" s="14"/>
      <c r="L13" s="14"/>
      <c r="M13" s="36"/>
    </row>
    <row r="14" spans="1:14" x14ac:dyDescent="0.25">
      <c r="A14" s="5"/>
      <c r="B14" s="5" t="s">
        <v>113</v>
      </c>
      <c r="C14" s="123" t="s">
        <v>114</v>
      </c>
      <c r="D14" s="124"/>
      <c r="E14" s="124"/>
      <c r="F14" s="124"/>
      <c r="G14" s="124"/>
      <c r="H14" s="124"/>
      <c r="I14" s="124"/>
      <c r="J14" s="124"/>
      <c r="K14" s="124"/>
      <c r="L14" s="124"/>
      <c r="M14" s="125"/>
    </row>
    <row r="15" spans="1:14" x14ac:dyDescent="0.25">
      <c r="A15" s="5"/>
      <c r="B15" s="5" t="s">
        <v>115</v>
      </c>
      <c r="C15" s="126"/>
      <c r="D15" s="127"/>
      <c r="E15" s="127"/>
      <c r="F15" s="127"/>
      <c r="G15" s="127"/>
      <c r="H15" s="127"/>
      <c r="I15" s="127"/>
      <c r="J15" s="127"/>
      <c r="K15" s="127"/>
      <c r="L15" s="127"/>
      <c r="M15" s="128"/>
    </row>
    <row r="16" spans="1:14" x14ac:dyDescent="0.25">
      <c r="A16" s="38" t="s">
        <v>116</v>
      </c>
      <c r="B16" s="7"/>
      <c r="C16" s="14"/>
      <c r="D16" s="14"/>
      <c r="E16" s="14"/>
      <c r="F16" s="14"/>
      <c r="G16" s="14"/>
      <c r="H16" s="14"/>
      <c r="I16" s="14"/>
      <c r="J16" s="14"/>
      <c r="K16" s="14"/>
      <c r="L16" s="14"/>
      <c r="M16" s="36"/>
    </row>
    <row r="17" spans="1:13" x14ac:dyDescent="0.25">
      <c r="A17" s="5"/>
      <c r="B17" s="5" t="s">
        <v>117</v>
      </c>
      <c r="C17" s="60">
        <f>('1.3. Ievade_Alternatīvas'!B9/'1.2. Ievade_Aptauju izmaksas'!B20)*'1.2. Ievade_Aptauju izmaksas'!E20</f>
        <v>140</v>
      </c>
      <c r="D17" s="12">
        <f>C17+(C17*'1.1. Ievade_Resursu aprēķins'!G5)</f>
        <v>140.28</v>
      </c>
      <c r="E17" s="12">
        <f>D17+(D17*'1.1. Ievade_Resursu aprēķins'!$G$6)</f>
        <v>143.0856</v>
      </c>
      <c r="F17" s="12">
        <f>E17+(E17*'1.1. Ievade_Resursu aprēķins'!$G$6)</f>
        <v>145.94731200000001</v>
      </c>
      <c r="G17" s="12">
        <f>F17+(F17*'1.1. Ievade_Resursu aprēķins'!$G$6)</f>
        <v>148.86625824000001</v>
      </c>
      <c r="H17" s="12">
        <f>G17+(G17*'1.1. Ievade_Resursu aprēķins'!$G$6)</f>
        <v>151.8435834048</v>
      </c>
      <c r="I17" s="12">
        <f>H17+(H17*'1.1. Ievade_Resursu aprēķins'!$G$6)</f>
        <v>154.88045507289601</v>
      </c>
      <c r="J17" s="12">
        <f>I17+(I17*'1.1. Ievade_Resursu aprēķins'!$G$6)</f>
        <v>157.97806417435393</v>
      </c>
      <c r="K17" s="12">
        <f>J17+(J17*'1.1. Ievade_Resursu aprēķins'!$G$6)</f>
        <v>161.13762545784101</v>
      </c>
      <c r="L17" s="12">
        <f>K17+(K17*'1.1. Ievade_Resursu aprēķins'!$G$6)</f>
        <v>164.36037796699785</v>
      </c>
      <c r="M17" s="35">
        <f>SUM(C17:L17)</f>
        <v>1508.379276316889</v>
      </c>
    </row>
    <row r="18" spans="1:13" x14ac:dyDescent="0.25">
      <c r="A18" s="5"/>
      <c r="B18" s="5" t="s">
        <v>118</v>
      </c>
      <c r="C18" s="40">
        <v>0</v>
      </c>
      <c r="D18" s="40">
        <v>0</v>
      </c>
      <c r="E18" s="40">
        <v>0</v>
      </c>
      <c r="F18" s="40">
        <v>0</v>
      </c>
      <c r="G18" s="40">
        <v>0</v>
      </c>
      <c r="H18" s="40">
        <v>0</v>
      </c>
      <c r="I18" s="40">
        <v>0</v>
      </c>
      <c r="J18" s="40">
        <v>0</v>
      </c>
      <c r="K18" s="40">
        <v>0</v>
      </c>
      <c r="L18" s="40">
        <v>0</v>
      </c>
      <c r="M18" s="35">
        <f>SUM(C18:L18)</f>
        <v>0</v>
      </c>
    </row>
    <row r="19" spans="1:13" x14ac:dyDescent="0.25">
      <c r="A19" s="119" t="s">
        <v>119</v>
      </c>
      <c r="B19" s="120"/>
      <c r="C19" s="120"/>
      <c r="D19" s="120"/>
      <c r="E19" s="120"/>
      <c r="F19" s="120"/>
      <c r="G19" s="120"/>
      <c r="H19" s="120"/>
      <c r="I19" s="120"/>
      <c r="J19" s="120"/>
      <c r="K19" s="120"/>
      <c r="L19" s="120"/>
      <c r="M19" s="121"/>
    </row>
    <row r="20" spans="1:13" x14ac:dyDescent="0.25">
      <c r="A20" s="8"/>
      <c r="B20" s="15" t="s">
        <v>120</v>
      </c>
      <c r="C20" s="16">
        <f>'2.1. Resursu aprēķins'!C11</f>
        <v>88000</v>
      </c>
      <c r="D20" s="16">
        <f>'2.1. Resursu aprēķins'!D11</f>
        <v>43086</v>
      </c>
      <c r="E20" s="16">
        <f>'2.1. Resursu aprēķins'!E11</f>
        <v>43947.72</v>
      </c>
      <c r="F20" s="16">
        <f>'2.1. Resursu aprēķins'!F11</f>
        <v>44826.674400000004</v>
      </c>
      <c r="G20" s="16">
        <f>'2.1. Resursu aprēķins'!G11</f>
        <v>45723.207888000004</v>
      </c>
      <c r="H20" s="16">
        <f>'2.1. Resursu aprēķins'!H11</f>
        <v>46637.672045760002</v>
      </c>
      <c r="I20" s="16">
        <f>'2.1. Resursu aprēķins'!I11</f>
        <v>47570.425486675202</v>
      </c>
      <c r="J20" s="16">
        <f>'2.1. Resursu aprēķins'!J11</f>
        <v>48521.833996408706</v>
      </c>
      <c r="K20" s="16">
        <f>'2.1. Resursu aprēķins'!K11</f>
        <v>49492.270676336877</v>
      </c>
      <c r="L20" s="16">
        <f>'2.1. Resursu aprēķins'!L11</f>
        <v>50482.116089863615</v>
      </c>
      <c r="M20" s="35">
        <f t="shared" si="0"/>
        <v>508287.92058304453</v>
      </c>
    </row>
    <row r="21" spans="1:13" x14ac:dyDescent="0.25">
      <c r="A21" s="6"/>
      <c r="B21" s="5" t="s">
        <v>121</v>
      </c>
      <c r="C21" s="40">
        <v>0</v>
      </c>
      <c r="D21" s="40">
        <v>0</v>
      </c>
      <c r="E21" s="40">
        <v>0</v>
      </c>
      <c r="F21" s="40">
        <v>0</v>
      </c>
      <c r="G21" s="40">
        <v>0</v>
      </c>
      <c r="H21" s="40">
        <v>0</v>
      </c>
      <c r="I21" s="40">
        <v>0</v>
      </c>
      <c r="J21" s="40">
        <v>0</v>
      </c>
      <c r="K21" s="40">
        <v>0</v>
      </c>
      <c r="L21" s="40">
        <v>0</v>
      </c>
      <c r="M21" s="35">
        <f t="shared" si="0"/>
        <v>0</v>
      </c>
    </row>
    <row r="22" spans="1:13" x14ac:dyDescent="0.25">
      <c r="A22" s="116" t="s">
        <v>186</v>
      </c>
      <c r="B22" s="117"/>
      <c r="C22" s="117"/>
      <c r="D22" s="117"/>
      <c r="E22" s="117"/>
      <c r="F22" s="117"/>
      <c r="G22" s="117"/>
      <c r="H22" s="117"/>
      <c r="I22" s="117"/>
      <c r="J22" s="117"/>
      <c r="K22" s="117"/>
      <c r="L22" s="117"/>
      <c r="M22" s="118"/>
    </row>
    <row r="23" spans="1:13" x14ac:dyDescent="0.25">
      <c r="A23" s="37" t="s">
        <v>187</v>
      </c>
      <c r="B23" s="7"/>
      <c r="C23" s="14"/>
      <c r="D23" s="14"/>
      <c r="E23" s="14"/>
      <c r="F23" s="14"/>
      <c r="G23" s="14"/>
      <c r="H23" s="14"/>
      <c r="I23" s="14"/>
      <c r="J23" s="14"/>
      <c r="K23" s="14"/>
      <c r="L23" s="14"/>
      <c r="M23" s="36"/>
    </row>
    <row r="24" spans="1:13" x14ac:dyDescent="0.25">
      <c r="A24" s="6"/>
      <c r="B24" s="5" t="s">
        <v>122</v>
      </c>
      <c r="C24" s="40">
        <v>0</v>
      </c>
      <c r="D24" s="40">
        <v>0</v>
      </c>
      <c r="E24" s="40">
        <v>0</v>
      </c>
      <c r="F24" s="40">
        <v>0</v>
      </c>
      <c r="G24" s="40">
        <v>0</v>
      </c>
      <c r="H24" s="40">
        <v>0</v>
      </c>
      <c r="I24" s="40">
        <v>0</v>
      </c>
      <c r="J24" s="40">
        <v>0</v>
      </c>
      <c r="K24" s="40">
        <v>0</v>
      </c>
      <c r="L24" s="40">
        <v>0</v>
      </c>
      <c r="M24" s="35">
        <f>SUM(C24:L24)</f>
        <v>0</v>
      </c>
    </row>
    <row r="25" spans="1:13" x14ac:dyDescent="0.25">
      <c r="A25" s="6"/>
      <c r="B25" s="5" t="s">
        <v>188</v>
      </c>
      <c r="C25" s="40">
        <v>0</v>
      </c>
      <c r="D25" s="40">
        <v>0</v>
      </c>
      <c r="E25" s="40">
        <v>0</v>
      </c>
      <c r="F25" s="40">
        <v>0</v>
      </c>
      <c r="G25" s="40">
        <v>0</v>
      </c>
      <c r="H25" s="40">
        <v>0</v>
      </c>
      <c r="I25" s="40">
        <v>0</v>
      </c>
      <c r="J25" s="40">
        <v>0</v>
      </c>
      <c r="K25" s="40">
        <v>0</v>
      </c>
      <c r="L25" s="40">
        <v>0</v>
      </c>
      <c r="M25" s="35">
        <f>SUM(C25:L25)</f>
        <v>0</v>
      </c>
    </row>
    <row r="26" spans="1:13" x14ac:dyDescent="0.25">
      <c r="A26" s="116" t="s">
        <v>189</v>
      </c>
      <c r="B26" s="117"/>
      <c r="C26" s="117"/>
      <c r="D26" s="117"/>
      <c r="E26" s="117"/>
      <c r="F26" s="117"/>
      <c r="G26" s="117"/>
      <c r="H26" s="117"/>
      <c r="I26" s="117"/>
      <c r="J26" s="117"/>
      <c r="K26" s="117"/>
      <c r="L26" s="117"/>
      <c r="M26" s="118"/>
    </row>
    <row r="27" spans="1:13" x14ac:dyDescent="0.25">
      <c r="A27" s="5"/>
      <c r="B27" s="103" t="s">
        <v>244</v>
      </c>
      <c r="C27" s="12">
        <f>'2.1. Resursu aprēķins'!C10</f>
        <v>22500</v>
      </c>
      <c r="D27" s="12">
        <f>'2.1. Resursu aprēķins'!D10</f>
        <v>22545</v>
      </c>
      <c r="E27" s="12">
        <f>'2.1. Resursu aprēķins'!E10</f>
        <v>22995.9</v>
      </c>
      <c r="F27" s="12">
        <f>'2.1. Resursu aprēķins'!F10</f>
        <v>23455.818000000003</v>
      </c>
      <c r="G27" s="12">
        <f>'2.1. Resursu aprēķins'!G10</f>
        <v>23924.934360000003</v>
      </c>
      <c r="H27" s="12">
        <f>'2.1. Resursu aprēķins'!H10</f>
        <v>24403.433047200004</v>
      </c>
      <c r="I27" s="12">
        <f>'2.1. Resursu aprēķins'!I10</f>
        <v>24891.501708144006</v>
      </c>
      <c r="J27" s="12">
        <f>'2.1. Resursu aprēķins'!J10</f>
        <v>25389.331742306887</v>
      </c>
      <c r="K27" s="12">
        <f>'2.1. Resursu aprēķins'!K10</f>
        <v>25897.118377153027</v>
      </c>
      <c r="L27" s="12">
        <f>'2.1. Resursu aprēķins'!L10</f>
        <v>26415.060744696086</v>
      </c>
      <c r="M27" s="35">
        <f>SUM(C27:L27)</f>
        <v>242418.09797950002</v>
      </c>
    </row>
    <row r="28" spans="1:13" x14ac:dyDescent="0.25">
      <c r="A28" s="7"/>
      <c r="B28" s="39" t="s">
        <v>243</v>
      </c>
      <c r="C28" s="13">
        <f>'1.3. Ievade_Alternatīvas'!B11*'1.3. Ievade_Alternatīvas'!C11</f>
        <v>14976</v>
      </c>
      <c r="D28" s="54">
        <f>C28+('2.2. Alternatīvas'!C28*'1.1. Ievade_Resursu aprēķins'!G5)</f>
        <v>15005.951999999999</v>
      </c>
      <c r="E28" s="54">
        <f>D28+(D28*'1.1. Ievade_Resursu aprēķins'!$G$6)</f>
        <v>15306.071039999999</v>
      </c>
      <c r="F28" s="54">
        <f>E28+(E28*'1.1. Ievade_Resursu aprēķins'!$G$6)</f>
        <v>15612.192460799999</v>
      </c>
      <c r="G28" s="54">
        <f>F28+(F28*'1.1. Ievade_Resursu aprēķins'!$G$6)</f>
        <v>15924.436310015999</v>
      </c>
      <c r="H28" s="54">
        <f>G28+(G28*'1.1. Ievade_Resursu aprēķins'!$G$6)</f>
        <v>16242.925036216318</v>
      </c>
      <c r="I28" s="54">
        <f>H28+(H28*'1.1. Ievade_Resursu aprēķins'!$G$6)</f>
        <v>16567.783536940646</v>
      </c>
      <c r="J28" s="54">
        <f>I28+(I28*'1.1. Ievade_Resursu aprēķins'!$G$6)</f>
        <v>16899.139207679458</v>
      </c>
      <c r="K28" s="54">
        <f>J28+(J28*'1.1. Ievade_Resursu aprēķins'!$G$6)</f>
        <v>17237.121991833046</v>
      </c>
      <c r="L28" s="54">
        <f>K28+(K28*'1.1. Ievade_Resursu aprēķins'!$G$6)</f>
        <v>17581.864431669706</v>
      </c>
      <c r="M28" s="36">
        <f>SUM(C28:L28)</f>
        <v>161353.48601515515</v>
      </c>
    </row>
  </sheetData>
  <mergeCells count="8">
    <mergeCell ref="A26:M26"/>
    <mergeCell ref="A22:M22"/>
    <mergeCell ref="A19:M19"/>
    <mergeCell ref="A1:M1"/>
    <mergeCell ref="C14:M15"/>
    <mergeCell ref="C11:M12"/>
    <mergeCell ref="A3:M3"/>
    <mergeCell ref="A6:M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Navigācijas panelis</vt:lpstr>
      <vt:lpstr>1.1. Ievade_Resursu aprēķins</vt:lpstr>
      <vt:lpstr>1.2. Ievade_Aptauju izmaksas</vt:lpstr>
      <vt:lpstr>1.3. Ievade_Alternatīvas</vt:lpstr>
      <vt:lpstr>2.1. Resursu aprēķins</vt:lpstr>
      <vt:lpstr>2.2. Alternatīvas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CIVITA</dc:creator>
  <cp:lastModifiedBy>Civitta</cp:lastModifiedBy>
  <dcterms:created xsi:type="dcterms:W3CDTF">2020-05-14T12:45:32Z</dcterms:created>
  <dcterms:modified xsi:type="dcterms:W3CDTF">2020-11-30T21:19:22Z</dcterms:modified>
</cp:coreProperties>
</file>